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.korch\Downloads\"/>
    </mc:Choice>
  </mc:AlternateContent>
  <xr:revisionPtr revIDLastSave="0" documentId="8_{2B986CF7-3641-4BD0-8843-B52D8300296B}" xr6:coauthVersionLast="47" xr6:coauthVersionMax="47" xr10:uidLastSave="{00000000-0000-0000-0000-000000000000}"/>
  <bookViews>
    <workbookView xWindow="810" yWindow="-120" windowWidth="28110" windowHeight="18240" tabRatio="947"/>
  </bookViews>
  <sheets>
    <sheet name="II_BIL" sheetId="2" r:id="rId1"/>
    <sheet name="III_RACH_POR" sheetId="4" r:id="rId2"/>
    <sheet name="III_RACH_KALK" sheetId="3" r:id="rId3"/>
    <sheet name="Opcje" sheetId="36" state="hidden" r:id="rId4"/>
    <sheet name="Arkusz3" sheetId="39" r:id="rId5"/>
  </sheets>
  <definedNames>
    <definedName name="_ftn1_13">#REF!</definedName>
    <definedName name="_ftn2_13">#REF!</definedName>
    <definedName name="_ftnref1_13">#REF!</definedName>
    <definedName name="_ftnref2_13">#REF!</definedName>
    <definedName name="_xlnm.Print_Area" localSheetId="0">II_BIL!$A$1:$P$96</definedName>
    <definedName name="_xlnm.Print_Area" localSheetId="2">III_RACH_KALK!$B$1:$F$58</definedName>
    <definedName name="_xlnm.Print_Area" localSheetId="1">III_RACH_POR!$B$5:$F$65</definedName>
    <definedName name="_xlnm.Print_Area" localSheetId="3">Opcje!$A$1</definedName>
    <definedName name="_xlnm.Print_Titles" localSheetId="0">II_BIL!$8:$9</definedName>
    <definedName name="_xlnm.Print_Titles" localSheetId="1">III_RACH_POR!$5:$6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4" l="1"/>
  <c r="C15" i="4"/>
  <c r="C21" i="4"/>
  <c r="C20" i="4"/>
  <c r="C19" i="4"/>
  <c r="H81" i="39"/>
  <c r="I81" i="39"/>
  <c r="F81" i="39"/>
  <c r="G81" i="39"/>
  <c r="E81" i="39"/>
  <c r="C34" i="4"/>
  <c r="C31" i="4"/>
  <c r="C9" i="4"/>
  <c r="C30" i="4"/>
  <c r="C47" i="4"/>
  <c r="C39" i="4"/>
  <c r="C7" i="4"/>
  <c r="C28" i="4"/>
  <c r="C27" i="4" s="1"/>
  <c r="C24" i="4" s="1"/>
  <c r="B56" i="2"/>
  <c r="B55" i="2"/>
  <c r="B54" i="2"/>
  <c r="B80" i="2"/>
  <c r="B14" i="2"/>
  <c r="B22" i="2"/>
  <c r="B21" i="2"/>
  <c r="B20" i="2"/>
  <c r="B17" i="2" s="1"/>
  <c r="B16" i="2" s="1"/>
  <c r="J80" i="2"/>
  <c r="J77" i="2"/>
  <c r="J74" i="2"/>
  <c r="J64" i="2"/>
  <c r="J59" i="2" s="1"/>
  <c r="J54" i="2"/>
  <c r="J53" i="2"/>
  <c r="J45" i="2"/>
  <c r="J42" i="2"/>
  <c r="J39" i="2"/>
  <c r="J35" i="2"/>
  <c r="J31" i="2" s="1"/>
  <c r="J9" i="2"/>
  <c r="K9" i="2"/>
  <c r="K31" i="2"/>
  <c r="K35" i="2"/>
  <c r="K39" i="2"/>
  <c r="K45" i="2"/>
  <c r="K42" i="2"/>
  <c r="K54" i="2"/>
  <c r="K53" i="2"/>
  <c r="K66" i="2"/>
  <c r="K64" i="2" s="1"/>
  <c r="K59" i="2" s="1"/>
  <c r="K51" i="2" s="1"/>
  <c r="K29" i="2" s="1"/>
  <c r="K70" i="2"/>
  <c r="K73" i="2"/>
  <c r="K74" i="2"/>
  <c r="K80" i="2"/>
  <c r="K77" i="2"/>
  <c r="B78" i="2"/>
  <c r="B67" i="2" s="1"/>
  <c r="B66" i="2" s="1"/>
  <c r="B73" i="2"/>
  <c r="B68" i="2"/>
  <c r="B60" i="2"/>
  <c r="B59" i="2"/>
  <c r="B53" i="2" s="1"/>
  <c r="B46" i="2" s="1"/>
  <c r="B47" i="2"/>
  <c r="B43" i="2"/>
  <c r="B37" i="2"/>
  <c r="B32" i="2"/>
  <c r="B31" i="2" s="1"/>
  <c r="B28" i="2" s="1"/>
  <c r="B25" i="2"/>
  <c r="B11" i="2"/>
  <c r="B10" i="2" s="1"/>
  <c r="B84" i="2" s="1"/>
  <c r="D9" i="4"/>
  <c r="D12" i="4"/>
  <c r="D54" i="4"/>
  <c r="D50" i="4"/>
  <c r="D47" i="4" s="1"/>
  <c r="D46" i="4"/>
  <c r="D39" i="4" s="1"/>
  <c r="D45" i="4"/>
  <c r="D44" i="4"/>
  <c r="D40" i="4"/>
  <c r="D33" i="4"/>
  <c r="D31" i="4" s="1"/>
  <c r="D32" i="4"/>
  <c r="D13" i="4"/>
  <c r="C61" i="2"/>
  <c r="C60" i="2" s="1"/>
  <c r="C59" i="2" s="1"/>
  <c r="C53" i="2" s="1"/>
  <c r="C46" i="2" s="1"/>
  <c r="C63" i="2"/>
  <c r="C79" i="2"/>
  <c r="C14" i="2"/>
  <c r="C11" i="2" s="1"/>
  <c r="C20" i="2"/>
  <c r="C22" i="2"/>
  <c r="C21" i="2"/>
  <c r="C17" i="2" s="1"/>
  <c r="C16" i="2" s="1"/>
  <c r="E34" i="4"/>
  <c r="E9" i="4"/>
  <c r="E26" i="4"/>
  <c r="E7" i="4"/>
  <c r="E23" i="4" s="1"/>
  <c r="C78" i="2"/>
  <c r="C73" i="2"/>
  <c r="C68" i="2"/>
  <c r="C67" i="2" s="1"/>
  <c r="C66" i="2" s="1"/>
  <c r="C55" i="2"/>
  <c r="C54" i="2"/>
  <c r="C47" i="2"/>
  <c r="C43" i="2"/>
  <c r="C37" i="2"/>
  <c r="C32" i="2"/>
  <c r="C31" i="2" s="1"/>
  <c r="C28" i="2" s="1"/>
  <c r="C25" i="2"/>
  <c r="E11" i="2"/>
  <c r="E14" i="2"/>
  <c r="E22" i="2"/>
  <c r="E17" i="2" s="1"/>
  <c r="E16" i="2" s="1"/>
  <c r="E25" i="2"/>
  <c r="E32" i="2"/>
  <c r="E31" i="2" s="1"/>
  <c r="E28" i="2" s="1"/>
  <c r="E37" i="2"/>
  <c r="E43" i="2"/>
  <c r="E47" i="2"/>
  <c r="E55" i="2"/>
  <c r="E54" i="2" s="1"/>
  <c r="E60" i="2"/>
  <c r="E59" i="2" s="1"/>
  <c r="E68" i="2"/>
  <c r="E67" i="2"/>
  <c r="E66" i="2" s="1"/>
  <c r="E73" i="2"/>
  <c r="E78" i="2"/>
  <c r="F54" i="4"/>
  <c r="F52" i="4"/>
  <c r="F50" i="4"/>
  <c r="F46" i="4"/>
  <c r="F45" i="4"/>
  <c r="F44" i="4"/>
  <c r="F40" i="4"/>
  <c r="F33" i="4"/>
  <c r="F32" i="4"/>
  <c r="F26" i="4"/>
  <c r="F25" i="4"/>
  <c r="F24" i="4" s="1"/>
  <c r="F13" i="4"/>
  <c r="F12" i="4"/>
  <c r="F9" i="4"/>
  <c r="F7" i="4" s="1"/>
  <c r="F23" i="4" s="1"/>
  <c r="F38" i="4" s="1"/>
  <c r="F53" i="4" s="1"/>
  <c r="F57" i="4" s="1"/>
  <c r="F60" i="4" s="1"/>
  <c r="L82" i="2"/>
  <c r="L80" i="2"/>
  <c r="L77" i="2" s="1"/>
  <c r="L24" i="2"/>
  <c r="L11" i="2"/>
  <c r="D83" i="2"/>
  <c r="D51" i="2"/>
  <c r="D47" i="2"/>
  <c r="L73" i="2"/>
  <c r="L70" i="2"/>
  <c r="D63" i="2"/>
  <c r="L66" i="2"/>
  <c r="L64" i="2" s="1"/>
  <c r="L59" i="2" s="1"/>
  <c r="D61" i="2"/>
  <c r="D60" i="2"/>
  <c r="D59" i="2" s="1"/>
  <c r="D79" i="2"/>
  <c r="D78" i="2"/>
  <c r="D21" i="2"/>
  <c r="D17" i="2"/>
  <c r="D16" i="2" s="1"/>
  <c r="E52" i="4"/>
  <c r="E50" i="4"/>
  <c r="E46" i="4"/>
  <c r="E45" i="4"/>
  <c r="E44" i="4"/>
  <c r="E40" i="4"/>
  <c r="E33" i="4"/>
  <c r="E32" i="4"/>
  <c r="L39" i="2"/>
  <c r="D14" i="2"/>
  <c r="D11" i="2" s="1"/>
  <c r="L74" i="2"/>
  <c r="L54" i="2"/>
  <c r="L53" i="2"/>
  <c r="L51" i="2" s="1"/>
  <c r="L45" i="2"/>
  <c r="L42" i="2"/>
  <c r="L35" i="2"/>
  <c r="L31" i="2"/>
  <c r="L29" i="2" s="1"/>
  <c r="L84" i="2" s="1"/>
  <c r="L9" i="2"/>
  <c r="D73" i="2"/>
  <c r="D68" i="2"/>
  <c r="D67" i="2" s="1"/>
  <c r="D66" i="2" s="1"/>
  <c r="D55" i="2"/>
  <c r="D54" i="2" s="1"/>
  <c r="D53" i="2" s="1"/>
  <c r="D43" i="2"/>
  <c r="D37" i="2"/>
  <c r="D31" i="2"/>
  <c r="D28" i="2" s="1"/>
  <c r="D32" i="2"/>
  <c r="D25" i="2"/>
  <c r="E44" i="3"/>
  <c r="E37" i="3"/>
  <c r="E29" i="3"/>
  <c r="E24" i="3"/>
  <c r="E20" i="3"/>
  <c r="E12" i="3"/>
  <c r="E8" i="3"/>
  <c r="E16" i="3" s="1"/>
  <c r="E19" i="3" s="1"/>
  <c r="E28" i="3" s="1"/>
  <c r="E43" i="3" s="1"/>
  <c r="E47" i="3" s="1"/>
  <c r="E50" i="3" s="1"/>
  <c r="E54" i="4"/>
  <c r="E13" i="4"/>
  <c r="M80" i="2"/>
  <c r="M77" i="2" s="1"/>
  <c r="M74" i="2"/>
  <c r="M64" i="2"/>
  <c r="M59" i="2"/>
  <c r="M54" i="2"/>
  <c r="M53" i="2" s="1"/>
  <c r="M51" i="2" s="1"/>
  <c r="M45" i="2"/>
  <c r="M42" i="2" s="1"/>
  <c r="M39" i="2"/>
  <c r="M35" i="2"/>
  <c r="M31" i="2"/>
  <c r="F12" i="3"/>
  <c r="F16" i="3"/>
  <c r="F19" i="3" s="1"/>
  <c r="F28" i="3" s="1"/>
  <c r="F43" i="3" s="1"/>
  <c r="F47" i="3" s="1"/>
  <c r="F50" i="3" s="1"/>
  <c r="F44" i="3"/>
  <c r="F37" i="3"/>
  <c r="F29" i="3"/>
  <c r="F24" i="3"/>
  <c r="F20" i="3"/>
  <c r="F8" i="3"/>
  <c r="G11" i="2"/>
  <c r="G10" i="2" s="1"/>
  <c r="H11" i="2"/>
  <c r="H17" i="2"/>
  <c r="H16" i="2" s="1"/>
  <c r="H10" i="2" s="1"/>
  <c r="G20" i="2"/>
  <c r="G17" i="2" s="1"/>
  <c r="G16" i="2" s="1"/>
  <c r="G25" i="2"/>
  <c r="H25" i="2"/>
  <c r="G32" i="2"/>
  <c r="H32" i="2"/>
  <c r="H31" i="2" s="1"/>
  <c r="H28" i="2" s="1"/>
  <c r="G37" i="2"/>
  <c r="G31" i="2"/>
  <c r="G28" i="2" s="1"/>
  <c r="H37" i="2"/>
  <c r="G43" i="2"/>
  <c r="H43" i="2"/>
  <c r="G47" i="2"/>
  <c r="H47" i="2"/>
  <c r="G55" i="2"/>
  <c r="G54" i="2"/>
  <c r="G53" i="2" s="1"/>
  <c r="G46" i="2" s="1"/>
  <c r="H56" i="2"/>
  <c r="H55" i="2"/>
  <c r="H54" i="2" s="1"/>
  <c r="G60" i="2"/>
  <c r="G59" i="2" s="1"/>
  <c r="H60" i="2"/>
  <c r="H59" i="2" s="1"/>
  <c r="G64" i="2"/>
  <c r="H64" i="2"/>
  <c r="G68" i="2"/>
  <c r="G67" i="2" s="1"/>
  <c r="G66" i="2" s="1"/>
  <c r="H68" i="2"/>
  <c r="G73" i="2"/>
  <c r="H73" i="2"/>
  <c r="G78" i="2"/>
  <c r="H78" i="2"/>
  <c r="G83" i="2"/>
  <c r="H83" i="2"/>
  <c r="N80" i="2"/>
  <c r="N77" i="2" s="1"/>
  <c r="N74" i="2"/>
  <c r="N72" i="2"/>
  <c r="N70" i="2"/>
  <c r="N66" i="2"/>
  <c r="N64" i="2"/>
  <c r="N59" i="2" s="1"/>
  <c r="N54" i="2"/>
  <c r="N53" i="2" s="1"/>
  <c r="N45" i="2"/>
  <c r="N42" i="2" s="1"/>
  <c r="N41" i="2"/>
  <c r="N39" i="2" s="1"/>
  <c r="N31" i="2" s="1"/>
  <c r="N35" i="2"/>
  <c r="N10" i="2"/>
  <c r="N9" i="2"/>
  <c r="F83" i="2"/>
  <c r="F79" i="2"/>
  <c r="F78" i="2"/>
  <c r="F73" i="2"/>
  <c r="F68" i="2"/>
  <c r="F67" i="2" s="1"/>
  <c r="F66" i="2" s="1"/>
  <c r="F64" i="2"/>
  <c r="F61" i="2"/>
  <c r="F60" i="2" s="1"/>
  <c r="F59" i="2" s="1"/>
  <c r="F55" i="2"/>
  <c r="F54" i="2"/>
  <c r="F53" i="2" s="1"/>
  <c r="F46" i="2" s="1"/>
  <c r="F47" i="2"/>
  <c r="F43" i="2"/>
  <c r="F37" i="2"/>
  <c r="F32" i="2"/>
  <c r="F31" i="2" s="1"/>
  <c r="F28" i="2" s="1"/>
  <c r="F25" i="2"/>
  <c r="F22" i="2"/>
  <c r="F21" i="2"/>
  <c r="F20" i="2"/>
  <c r="F19" i="2"/>
  <c r="F18" i="2"/>
  <c r="F17" i="2" s="1"/>
  <c r="F16" i="2" s="1"/>
  <c r="F14" i="2"/>
  <c r="F13" i="2"/>
  <c r="F11" i="2" s="1"/>
  <c r="F10" i="2" s="1"/>
  <c r="F84" i="2" s="1"/>
  <c r="O66" i="2"/>
  <c r="O64" i="2" s="1"/>
  <c r="O59" i="2" s="1"/>
  <c r="O73" i="2"/>
  <c r="P80" i="2"/>
  <c r="P77" i="2" s="1"/>
  <c r="P74" i="2"/>
  <c r="P66" i="2"/>
  <c r="P64" i="2"/>
  <c r="P59" i="2" s="1"/>
  <c r="P54" i="2"/>
  <c r="P53" i="2" s="1"/>
  <c r="P51" i="2" s="1"/>
  <c r="P45" i="2"/>
  <c r="P42" i="2" s="1"/>
  <c r="P39" i="2"/>
  <c r="P35" i="2"/>
  <c r="P31" i="2" s="1"/>
  <c r="P10" i="2"/>
  <c r="P9" i="2"/>
  <c r="P97" i="2"/>
  <c r="O9" i="2"/>
  <c r="O10" i="2"/>
  <c r="O35" i="2"/>
  <c r="O31" i="2" s="1"/>
  <c r="O39" i="2"/>
  <c r="O45" i="2"/>
  <c r="O42" i="2" s="1"/>
  <c r="Q46" i="2"/>
  <c r="Q54" i="2" s="1"/>
  <c r="Q53" i="2"/>
  <c r="O54" i="2"/>
  <c r="O53" i="2"/>
  <c r="O74" i="2"/>
  <c r="O80" i="2"/>
  <c r="O77" i="2"/>
  <c r="D52" i="3"/>
  <c r="B52" i="3"/>
  <c r="B53" i="3"/>
  <c r="D53" i="3"/>
  <c r="P98" i="2"/>
  <c r="O98" i="2"/>
  <c r="H67" i="2"/>
  <c r="H66" i="2"/>
  <c r="N98" i="2"/>
  <c r="N97" i="2"/>
  <c r="O97" i="2"/>
  <c r="L10" i="2"/>
  <c r="C13" i="4"/>
  <c r="C23" i="4"/>
  <c r="C38" i="4" s="1"/>
  <c r="C53" i="4" s="1"/>
  <c r="C57" i="4" s="1"/>
  <c r="C60" i="4" s="1"/>
  <c r="E47" i="4"/>
  <c r="F39" i="4"/>
  <c r="E31" i="4"/>
  <c r="F47" i="4"/>
  <c r="E39" i="4"/>
  <c r="F31" i="4"/>
  <c r="G84" i="2" l="1"/>
  <c r="J29" i="2"/>
  <c r="J51" i="2"/>
  <c r="M29" i="2"/>
  <c r="E53" i="2"/>
  <c r="E46" i="2" s="1"/>
  <c r="H53" i="2"/>
  <c r="H46" i="2"/>
  <c r="H84" i="2" s="1"/>
  <c r="L25" i="2"/>
  <c r="K24" i="2" s="1"/>
  <c r="E27" i="4"/>
  <c r="E24" i="4" s="1"/>
  <c r="E38" i="4" s="1"/>
  <c r="E53" i="4" s="1"/>
  <c r="E57" i="4" s="1"/>
  <c r="E60" i="4" s="1"/>
  <c r="M25" i="2"/>
  <c r="M10" i="2" s="1"/>
  <c r="M84" i="2" s="1"/>
  <c r="O51" i="2"/>
  <c r="O29" i="2" s="1"/>
  <c r="O84" i="2" s="1"/>
  <c r="P29" i="2"/>
  <c r="P84" i="2" s="1"/>
  <c r="N51" i="2"/>
  <c r="N29" i="2" s="1"/>
  <c r="N84" i="2" s="1"/>
  <c r="D10" i="2"/>
  <c r="D84" i="2" s="1"/>
  <c r="D46" i="2"/>
  <c r="E10" i="2"/>
  <c r="E84" i="2" s="1"/>
  <c r="C10" i="2"/>
  <c r="C84" i="2" s="1"/>
  <c r="D7" i="4"/>
  <c r="D23" i="4" s="1"/>
  <c r="K25" i="2" l="1"/>
  <c r="D27" i="4"/>
  <c r="D24" i="4" s="1"/>
  <c r="I7" i="4" s="1"/>
  <c r="K10" i="2"/>
  <c r="K84" i="2" s="1"/>
  <c r="D38" i="4"/>
  <c r="D53" i="4" s="1"/>
  <c r="D57" i="4" s="1"/>
  <c r="D60" i="4" s="1"/>
  <c r="J25" i="2" l="1"/>
  <c r="J10" i="2" s="1"/>
  <c r="J84" i="2" s="1"/>
  <c r="C64" i="4"/>
</calcChain>
</file>

<file path=xl/sharedStrings.xml><?xml version="1.0" encoding="utf-8"?>
<sst xmlns="http://schemas.openxmlformats.org/spreadsheetml/2006/main" count="599" uniqueCount="386">
  <si>
    <t>AKTYWA</t>
  </si>
  <si>
    <t>PASYWA</t>
  </si>
  <si>
    <t>A.  Aktywa trwałe</t>
  </si>
  <si>
    <t>A.  Kapitał (fundusz) własny</t>
  </si>
  <si>
    <t>Wartości niematerialne i prawne</t>
  </si>
  <si>
    <t>I.  Kapitał (fundusz) podstawowy</t>
  </si>
  <si>
    <t>1.  Koszty zakończonych prac rozwojowych</t>
  </si>
  <si>
    <t>2.  Wartość firmy</t>
  </si>
  <si>
    <t>II.  Należne wpłaty na kapitał podstawowy (wielkość ujemna)</t>
  </si>
  <si>
    <t>3.  Inne wartości niematerialne i prawne</t>
  </si>
  <si>
    <t>4.  Zaliczki na wartości niematerialne i prawne</t>
  </si>
  <si>
    <t>III.  Udziały (akcje) własne (wielkość ujemna)</t>
  </si>
  <si>
    <t>II.  Rzeczowe aktywa trwałe</t>
  </si>
  <si>
    <t>1.  Środki trwałe</t>
  </si>
  <si>
    <t>IV.  Kapitał (fundusz) zapasowy</t>
  </si>
  <si>
    <t>a)  grunty (w tym prawo użytkowania wieczystego gruntu)</t>
  </si>
  <si>
    <t>b)  budynki, lokale i obiekty inżynierii lądowej i wodnej</t>
  </si>
  <si>
    <t>V.  Kapitał (fundusz) z aktualizacji wyceny</t>
  </si>
  <si>
    <t>c)  urządzenia techniczne i maszyny</t>
  </si>
  <si>
    <t>d)  środki transportu</t>
  </si>
  <si>
    <t>VI.  Pozostałe kapitały (fundusze) rezerwowe</t>
  </si>
  <si>
    <t>e)  inne środki trwałe</t>
  </si>
  <si>
    <t>a) w tym kapitał rezerwowy z dopłat wspólników</t>
  </si>
  <si>
    <t>2.  Środki trwałe w budowie</t>
  </si>
  <si>
    <t xml:space="preserve">b) w tym należne dopłaty na poczet kapitału rezerwowego (wielkość ujemna) </t>
  </si>
  <si>
    <t>3.  Zaliczki na środki trwałe w budowie</t>
  </si>
  <si>
    <t>VII.  Zysk (strata) z lat ubiegłych</t>
  </si>
  <si>
    <t>III.  Należności długoterminowe</t>
  </si>
  <si>
    <t>VIII.  Zysk (strata) netto</t>
  </si>
  <si>
    <t>1.  Od jednostek powiązanych</t>
  </si>
  <si>
    <t>2.  Od pozostałych jednostek</t>
  </si>
  <si>
    <t>IX.  Odpisy z zysku netto w ciągu roku obrotowego (wielkość ujemna)</t>
  </si>
  <si>
    <t>IV.  Inwestycje długoterminowe</t>
  </si>
  <si>
    <t>1.  Nieruchomości</t>
  </si>
  <si>
    <t>B.  Zobowiązania i rezerwy na zobowiązania</t>
  </si>
  <si>
    <t>2.  Wartości niematerialne i prawne</t>
  </si>
  <si>
    <t>3.  Długoterminowe aktywa finansowe</t>
  </si>
  <si>
    <t>I.  Rezerwy na zobowiązania</t>
  </si>
  <si>
    <t>a)  w jednostkach powiązanych</t>
  </si>
  <si>
    <t>-  udziały lub akcje</t>
  </si>
  <si>
    <t>1.  Rezerwa z tytułu odroczonego podatku dochodowego</t>
  </si>
  <si>
    <t>-  inne papiery wartościowe</t>
  </si>
  <si>
    <t>-  udzielone pożyczki</t>
  </si>
  <si>
    <t>2.  Rezerwa na świadczenia emerytalne i podobne</t>
  </si>
  <si>
    <t>-  inne długoterminowe aktywa finansowe</t>
  </si>
  <si>
    <t>b)  w pozostałych jednostkach</t>
  </si>
  <si>
    <t>-  długoterminowa</t>
  </si>
  <si>
    <t>-  krótkoterminowa</t>
  </si>
  <si>
    <t>3.  Pozostałe rezerwy</t>
  </si>
  <si>
    <t>-  długoterminowe</t>
  </si>
  <si>
    <t>-  krótkoterminowe</t>
  </si>
  <si>
    <t>4.  Inne inwestycje długoterminowe</t>
  </si>
  <si>
    <t>II.  Zobowiązania długoterminowe</t>
  </si>
  <si>
    <t>V.  Długoterminowe rozliczenia międzyokresowe</t>
  </si>
  <si>
    <t>1.  Aktywa z tytułu odroczonego podatku dochodowego</t>
  </si>
  <si>
    <t>1.  Wobec jednostek powiązanych</t>
  </si>
  <si>
    <t>2.  Inne rozliczenia międzyokresowe</t>
  </si>
  <si>
    <t>2.  Wobec pozostałych jednostek</t>
  </si>
  <si>
    <t>B.  Aktywa obrotowe</t>
  </si>
  <si>
    <t>a)  kredyty i pożyczki</t>
  </si>
  <si>
    <t>I.  Zapasy</t>
  </si>
  <si>
    <t>b)  z tytułu emisji dłużnych papierów wartościowych</t>
  </si>
  <si>
    <t>1.  Materiały</t>
  </si>
  <si>
    <t>2.  Półprodukty i produkty w toku</t>
  </si>
  <si>
    <t>c)  inne zobowiązania finansowe</t>
  </si>
  <si>
    <t>3.  Produkty gotowe</t>
  </si>
  <si>
    <t>d)  inne</t>
  </si>
  <si>
    <t>4.  Towary</t>
  </si>
  <si>
    <t>III.  Zobowiązania krótkoterminowe</t>
  </si>
  <si>
    <t>5.  Zaliczki na dostawy</t>
  </si>
  <si>
    <t>II.  Należności krótkoterminowe</t>
  </si>
  <si>
    <t>1.  Należności od jednostek powiązanych</t>
  </si>
  <si>
    <t>a)  z tytułu dostaw i usług, o okresie wymagalności:</t>
  </si>
  <si>
    <t>a)  z tytułu dostaw i usług, o okresie spłaty:</t>
  </si>
  <si>
    <t>-  do 12 miesięcy</t>
  </si>
  <si>
    <t>-  powyżej 12 miesięcy</t>
  </si>
  <si>
    <t>b)  inne</t>
  </si>
  <si>
    <t>2.  Należności od pozostałych jednostek</t>
  </si>
  <si>
    <t>b)  z tytułu podatków, dotacji, ceł, ubezpieczeń społecznych i zdrowotnych oraz innych świadczeń</t>
  </si>
  <si>
    <t>c)  inne</t>
  </si>
  <si>
    <t>d)  z tytułu dostaw i usług, o okresie wymagalności:</t>
  </si>
  <si>
    <t>d)  dochodzone na drodze sądowej</t>
  </si>
  <si>
    <t>III.  Inwestycje krótkoterminowe</t>
  </si>
  <si>
    <t>1.  Krótkoterminowe aktywa finansowe</t>
  </si>
  <si>
    <t>e)  zaliczki otrzymane na dostawy</t>
  </si>
  <si>
    <t>f)  zobowiązania wekslowe</t>
  </si>
  <si>
    <t>g)  z tytułu podatków, ceł, ubezpieczeń i innych świadczeń</t>
  </si>
  <si>
    <t>-  inne krótkoterminowe aktywa finansowe</t>
  </si>
  <si>
    <t>h)  z tytułu wynagrodzeń</t>
  </si>
  <si>
    <t>i)  inne</t>
  </si>
  <si>
    <t>3.  Fundusze specjalne</t>
  </si>
  <si>
    <t>ZFŚS</t>
  </si>
  <si>
    <t>ZFRON</t>
  </si>
  <si>
    <t>IV.  Rozliczenia międzyokresowe</t>
  </si>
  <si>
    <t>c)  środki pieniężne i inne aktywa pieniężne</t>
  </si>
  <si>
    <t>-  środki pieniężne w kasie i na rachunkach</t>
  </si>
  <si>
    <t>1.  Ujemna wartość firmy</t>
  </si>
  <si>
    <t>-  inne środki pieniężne</t>
  </si>
  <si>
    <t>-  inne aktywa pieniężne</t>
  </si>
  <si>
    <t>2.  Inne inwestycje krótkoterminowe</t>
  </si>
  <si>
    <t>IV.  Krótkoterminowe rozliczenia międzyokresowe</t>
  </si>
  <si>
    <t>Aktywa razem</t>
  </si>
  <si>
    <t>Pasywa razem</t>
  </si>
  <si>
    <t>......................................</t>
  </si>
  <si>
    <t>..................................</t>
  </si>
  <si>
    <t xml:space="preserve">(wariant kalkulacyjny)  </t>
  </si>
  <si>
    <t>A.  Przychody ze sprzedaży produktów, towarów i materiałów, w tym:</t>
  </si>
  <si>
    <t xml:space="preserve">           – od jednostek powiązanych</t>
  </si>
  <si>
    <t xml:space="preserve">      I.  Przychody netto ze sprzedaży produktów</t>
  </si>
  <si>
    <t xml:space="preserve">      II.  Przychody netto ze sprzedaży towarów i materiałów</t>
  </si>
  <si>
    <t>B.  Koszty sprzedanych produktów,  towarów i materiałów, w tym:</t>
  </si>
  <si>
    <t xml:space="preserve">           – jednostkom powiązanym</t>
  </si>
  <si>
    <t xml:space="preserve">      I.  Koszt wytworzenia sprzedanych produktów</t>
  </si>
  <si>
    <t xml:space="preserve">      II.  Wartość sprzedanych towarów i materiałów</t>
  </si>
  <si>
    <t>C.  Zysk (strata) brutto ze sprzedaży (A–B)</t>
  </si>
  <si>
    <t>D.  Koszty sprzedaży</t>
  </si>
  <si>
    <t>E.  Koszty ogólnego zarządu</t>
  </si>
  <si>
    <t>F.  Zysk (strata) ze sprzedaży (C–D–E)</t>
  </si>
  <si>
    <t>G.  Pozostałe przychody operacyjne</t>
  </si>
  <si>
    <t xml:space="preserve">      I.  Zysk ze zbycia niefinansowych aktywów trwałych</t>
  </si>
  <si>
    <t xml:space="preserve">      II.  Dotacje</t>
  </si>
  <si>
    <t xml:space="preserve">      III.  Inne przychody operacyjne</t>
  </si>
  <si>
    <t>H.  Pozostałe koszty operacyjne</t>
  </si>
  <si>
    <t xml:space="preserve">      I.  Strata ze zbycia niefinansowych aktywów trwałych</t>
  </si>
  <si>
    <t xml:space="preserve">      II.  Aktualizacja wartości aktywów niefinansowych</t>
  </si>
  <si>
    <t xml:space="preserve">      III.  Inne koszty operacyjne</t>
  </si>
  <si>
    <t>I.  Zysk(strata) z działalności operacyjnej (F+G–H)</t>
  </si>
  <si>
    <t>J.  Przychody finansowe</t>
  </si>
  <si>
    <t xml:space="preserve">      I.  Dywidendy i udziały w zyskach, w tym:</t>
  </si>
  <si>
    <t xml:space="preserve">           –  od jednostek powiązanych</t>
  </si>
  <si>
    <t xml:space="preserve">      II.  Odsetki, w tym:</t>
  </si>
  <si>
    <t xml:space="preserve">      III.  Zysk ze zbycia inwestycji</t>
  </si>
  <si>
    <t xml:space="preserve">      IV.  Aktualizacja wartości inwestycji</t>
  </si>
  <si>
    <t xml:space="preserve">      V.  Inne</t>
  </si>
  <si>
    <t>K.  Koszty finansowe</t>
  </si>
  <si>
    <t xml:space="preserve">      I.  Odsetki, w tym:</t>
  </si>
  <si>
    <t xml:space="preserve">           –  dla jednostek powiązanych</t>
  </si>
  <si>
    <t xml:space="preserve">      II.  Strata ze zbycia inwestycji</t>
  </si>
  <si>
    <t xml:space="preserve">      III.  Aktualizacja wartości inwestycji</t>
  </si>
  <si>
    <t xml:space="preserve">      IV.  Inne</t>
  </si>
  <si>
    <t>L.  Zysk (strata) z działalności gospodarczej (I+J–K)</t>
  </si>
  <si>
    <t>M.  Wynik zdarzeń nadzwyczajnych (M.I.–M.II.)</t>
  </si>
  <si>
    <t xml:space="preserve">      I.  Zyski nadzwyczajne</t>
  </si>
  <si>
    <t xml:space="preserve">      II.  Straty nadzwyczajne</t>
  </si>
  <si>
    <t>N.  Zysk (strata) brutto (L+M)</t>
  </si>
  <si>
    <t>O.  Podatek dochodowy</t>
  </si>
  <si>
    <t>P.  Pozostałe obowiązkowe zmniejszenia zysku (zwiększenia straty)</t>
  </si>
  <si>
    <t>R.  Zysk (strata) netto (N–O–P)</t>
  </si>
  <si>
    <t>......................................................</t>
  </si>
  <si>
    <t xml:space="preserve">(wariant porównawczy)  </t>
  </si>
  <si>
    <t>A.  Przychody netto ze sprzedaży i zrównane z nimi, w tym:</t>
  </si>
  <si>
    <t>-  od jednostek powiązanych</t>
  </si>
  <si>
    <t>I.  Przychody netto ze sprzedaży produktów</t>
  </si>
  <si>
    <t>II.  Zmiana stanu produktów (zwiększenie - wartość dodatnia, zmniejszenie - wartość ujemna)</t>
  </si>
  <si>
    <t>III.  Koszt wytworzenia produktów na własne potrzeby jednostki</t>
  </si>
  <si>
    <t>IV.  Przychody netto ze sprzedaży towarów i materiałów</t>
  </si>
  <si>
    <t>B.  Koszty działalności operacyjnej</t>
  </si>
  <si>
    <t>I.  Amortyzacja</t>
  </si>
  <si>
    <t>II.  Zużycie materiałów i energii</t>
  </si>
  <si>
    <t>III.  Usługi obce</t>
  </si>
  <si>
    <t>IV.  Podatki i opłaty, w tym:</t>
  </si>
  <si>
    <t>-  podatek akcyzowy</t>
  </si>
  <si>
    <t>V.  Wynagrodzenia</t>
  </si>
  <si>
    <t>VI.  Ubezpieczenia społeczne i inne świadczenia</t>
  </si>
  <si>
    <t>VII.  Pozostałe koszty rodzajowe</t>
  </si>
  <si>
    <t>VIII.  Wartość sprzedanych towarów i materiałów</t>
  </si>
  <si>
    <t>C.  Zysk (strata) ze sprzedaży (A-B)</t>
  </si>
  <si>
    <t>D.  Pozostałe przychody operacyjne</t>
  </si>
  <si>
    <t>I.  Zysk ze zbycia niefinansowych aktywów trwałych</t>
  </si>
  <si>
    <t>II.  Dotacje</t>
  </si>
  <si>
    <t>III.  Inne przychody operacyjne</t>
  </si>
  <si>
    <t>E.  Pozostałe koszty operacyjne</t>
  </si>
  <si>
    <t>I.  Strata ze zbycia niefinansowych aktywów trwałych</t>
  </si>
  <si>
    <t>II.  Aktualizacja wartości aktywów niefinansowych</t>
  </si>
  <si>
    <t>III.  Inne koszty operacyjne</t>
  </si>
  <si>
    <t>F.  Zysk (strata) z działalności operacyjnej (C+D-E)</t>
  </si>
  <si>
    <t>G.  Przychody finansowe</t>
  </si>
  <si>
    <t>I.  Dywidendy i udziały w zyskach, w tym:</t>
  </si>
  <si>
    <t>II.  Odsetki, w tym:</t>
  </si>
  <si>
    <t>III.  Zysk ze zbycia inwestycji</t>
  </si>
  <si>
    <t>IV.  Aktualizacja wartości inwestycji</t>
  </si>
  <si>
    <t>V.  Inne</t>
  </si>
  <si>
    <t>H.  Koszty finansowe</t>
  </si>
  <si>
    <t>I.  Odsetki, w tym:</t>
  </si>
  <si>
    <t>-  dla jednostek powiązanych</t>
  </si>
  <si>
    <t>II.  Strata ze zbycia inwestycji</t>
  </si>
  <si>
    <t>III.  Aktualizacja wartości inwestycji</t>
  </si>
  <si>
    <t>IV.  Inne</t>
  </si>
  <si>
    <t>I.  Zysk (strata) z działalności gospodarczej (F+G-H)</t>
  </si>
  <si>
    <t>J.  Wynik zdarzeń nadzwyczajnych (J.I.-J.II.)</t>
  </si>
  <si>
    <t>I.  Zyski nadzwyczajne</t>
  </si>
  <si>
    <t>II.  Straty nadzwyczajne</t>
  </si>
  <si>
    <t>K.  Zysk (strata) brutto (I+J)</t>
  </si>
  <si>
    <t>L.  Podatek dochodowy</t>
  </si>
  <si>
    <t>M.  Pozostałe obowiązkowe zmniejszenia zysku (zwiększenia straty)</t>
  </si>
  <si>
    <t>N.  Zysk (strata) netto (K-L-M)</t>
  </si>
  <si>
    <t xml:space="preserve"> </t>
  </si>
  <si>
    <t>2008-06-31</t>
  </si>
  <si>
    <t xml:space="preserve">  BILANS                </t>
  </si>
  <si>
    <t xml:space="preserve">   RACHUNEK ZYSKÓW I STRAT </t>
  </si>
  <si>
    <t xml:space="preserve"> RACHUNEK ZYSKÓW I STRAT </t>
  </si>
  <si>
    <t>EKOARTBUD Sp.z o.o.</t>
  </si>
  <si>
    <t>17-100 Bielsk Podlaski, ul. Kościuszki 3</t>
  </si>
  <si>
    <t xml:space="preserve">                                NIP 5432177788</t>
  </si>
  <si>
    <t>2010.01.01-2010.12.31</t>
  </si>
  <si>
    <t>2011.01.01-2011.12.31</t>
  </si>
  <si>
    <t>…………………………………………………..</t>
  </si>
  <si>
    <t xml:space="preserve">                      (pieczęć jednostki)</t>
  </si>
  <si>
    <t xml:space="preserve">          (pieczątka firmy)</t>
  </si>
  <si>
    <t>Bogusława Nazaruk</t>
  </si>
  <si>
    <t xml:space="preserve"> Sporządził:</t>
  </si>
  <si>
    <t>Sporządził:</t>
  </si>
  <si>
    <t>2012.01.01-2012.12.31</t>
  </si>
  <si>
    <t>2013.01.01-2013.12.31</t>
  </si>
  <si>
    <t>Białystok   2014.03.31</t>
  </si>
  <si>
    <t>Białystok 2014.03.31</t>
  </si>
  <si>
    <t>1.Koszty z działalności nieodpłatnej pożytku publicznego:</t>
  </si>
  <si>
    <t>2.Koszty z działalności odpłatnej pożytku publicznego:</t>
  </si>
  <si>
    <t xml:space="preserve">3. Inne koszty operacyjne: </t>
  </si>
  <si>
    <t>1. Przychody z działalności nieodpłatnej pożytku publicznego</t>
  </si>
  <si>
    <t xml:space="preserve">2. Przychody z działalności odpłatnej pożytku publicznego </t>
  </si>
  <si>
    <t xml:space="preserve">3. Inne przychody operacyjne </t>
  </si>
  <si>
    <t>Konto</t>
  </si>
  <si>
    <t>Nazwa</t>
  </si>
  <si>
    <t>BO Wn</t>
  </si>
  <si>
    <t>BO Ma</t>
  </si>
  <si>
    <t>Obroty Wn</t>
  </si>
  <si>
    <t>Obroty Ma</t>
  </si>
  <si>
    <t>Saldo Wn</t>
  </si>
  <si>
    <t>Saldo Ma</t>
  </si>
  <si>
    <t>550-00</t>
  </si>
  <si>
    <t>Amortyzacja</t>
  </si>
  <si>
    <t>550-05</t>
  </si>
  <si>
    <t>Ubezpieczenia społeczne i inne świadczenia</t>
  </si>
  <si>
    <t>Pozostałe koszty</t>
  </si>
  <si>
    <t>550-01</t>
  </si>
  <si>
    <t>Zużycie materiałów i energii</t>
  </si>
  <si>
    <t>550-02</t>
  </si>
  <si>
    <t>Usługi obce</t>
  </si>
  <si>
    <t>550-03</t>
  </si>
  <si>
    <t>Podatki i opłaty</t>
  </si>
  <si>
    <t>550-04</t>
  </si>
  <si>
    <t>Wynagrodzenia</t>
  </si>
  <si>
    <t>550-08</t>
  </si>
  <si>
    <t>Data</t>
  </si>
  <si>
    <t>Dowód</t>
  </si>
  <si>
    <t>Kwota Ma</t>
  </si>
  <si>
    <t>Przeciwstawne</t>
  </si>
  <si>
    <t>Treść</t>
  </si>
  <si>
    <t>RZK-12</t>
  </si>
  <si>
    <t>520-20-15-02</t>
  </si>
  <si>
    <t>490-00</t>
  </si>
  <si>
    <t>paliwo do sam.służbowego BI 2631L - dystrybucja "Czytania 2013"</t>
  </si>
  <si>
    <t>W76-5</t>
  </si>
  <si>
    <t>520-20-19-03</t>
  </si>
  <si>
    <t>RZK-112</t>
  </si>
  <si>
    <t>520-20-16-01</t>
  </si>
  <si>
    <t>druk Aniołek Opowiadania</t>
  </si>
  <si>
    <t>LP-27</t>
  </si>
  <si>
    <t>520-20-15-01</t>
  </si>
  <si>
    <t>umowy zlecenia i o dzieło 05/2013</t>
  </si>
  <si>
    <t>RZK-129</t>
  </si>
  <si>
    <t>520-20-16-02</t>
  </si>
  <si>
    <t>paliwo do sam.służbowego BI 2631L - dystrybucja Aniołek Opowiadania</t>
  </si>
  <si>
    <t>RZK-133</t>
  </si>
  <si>
    <t>520-20-17-01</t>
  </si>
  <si>
    <t xml:space="preserve">duk Aniołka "Święta" </t>
  </si>
  <si>
    <t>LP-33</t>
  </si>
  <si>
    <t>umowy zlecenia i o dzieło</t>
  </si>
  <si>
    <t>RZK-149</t>
  </si>
  <si>
    <t>520-20-17-02</t>
  </si>
  <si>
    <t>paliwo do sam.służbowego BI 2631L - dystrybucja "Aniołek Święta'</t>
  </si>
  <si>
    <t>RZK-152</t>
  </si>
  <si>
    <t>520-20-00-03</t>
  </si>
  <si>
    <t xml:space="preserve">usługi telekomunikacyjne </t>
  </si>
  <si>
    <t>520-20-17-03</t>
  </si>
  <si>
    <t>RZK-160</t>
  </si>
  <si>
    <t>520-20-00-01</t>
  </si>
  <si>
    <t>papier do druku kalendarza Czytania 2014</t>
  </si>
  <si>
    <t>RZK-167</t>
  </si>
  <si>
    <t>520-20-00-02</t>
  </si>
  <si>
    <t>paliwo BI 263L-dystrybucja Czytania 2014</t>
  </si>
  <si>
    <t>RZK-168</t>
  </si>
  <si>
    <t>520-20-18</t>
  </si>
  <si>
    <t>duk książki - "Pisarz i Bóg"</t>
  </si>
  <si>
    <t>RZK-169</t>
  </si>
  <si>
    <t>druk kalendarza - Czytania 2014</t>
  </si>
  <si>
    <t>RZK-170</t>
  </si>
  <si>
    <t>opłata za paczkę - wysyłka "Pisarzi Bóg"</t>
  </si>
  <si>
    <t>PK-52</t>
  </si>
  <si>
    <t>520-20-01-03</t>
  </si>
  <si>
    <t>badania okresowe - Jerzy Czykwin</t>
  </si>
  <si>
    <t>LP-45</t>
  </si>
  <si>
    <t xml:space="preserve">umowy zlecenia i o dzieło 08/2013 </t>
  </si>
  <si>
    <t>PK-60</t>
  </si>
  <si>
    <t>RZK-182</t>
  </si>
  <si>
    <t>licencja na korzystanie z praw majątkowych</t>
  </si>
  <si>
    <t>RZK-185</t>
  </si>
  <si>
    <t xml:space="preserve">wysyłka wydawnictw </t>
  </si>
  <si>
    <t>DEL-10</t>
  </si>
  <si>
    <t>delegacja A.Radziukiewicz - Warszawa 12.09.2013 - MEN przetarg na podręcznik</t>
  </si>
  <si>
    <t>RZK-187</t>
  </si>
  <si>
    <t>dystrybucja - Czytania 2014</t>
  </si>
  <si>
    <t>RZK-190</t>
  </si>
  <si>
    <t>wysyłka wydawnictw</t>
  </si>
  <si>
    <t>RZK-191</t>
  </si>
  <si>
    <t>wysyłka do Ministerstwa - podręcznik do j.białoruskiego</t>
  </si>
  <si>
    <t>PK-62</t>
  </si>
  <si>
    <t>tłumaczenie na j.rosyjski</t>
  </si>
  <si>
    <t>RZK-193</t>
  </si>
  <si>
    <t>usługi pocztowe -dystrybucja wydawnictw</t>
  </si>
  <si>
    <t>LP-50</t>
  </si>
  <si>
    <t>520-20-01-01</t>
  </si>
  <si>
    <t>wynagrodzenie pracowników 09/2013</t>
  </si>
  <si>
    <t>ZUS - obciążenie pracodawcy</t>
  </si>
  <si>
    <t>RZK-195</t>
  </si>
  <si>
    <t>druk  - kalendarz Czytania 2014</t>
  </si>
  <si>
    <t>RZK-197</t>
  </si>
  <si>
    <t>usł.telekomunikacyjne</t>
  </si>
  <si>
    <t>RZK-202</t>
  </si>
  <si>
    <t>RZK-203</t>
  </si>
  <si>
    <t>RZK-206</t>
  </si>
  <si>
    <t>znaczki pocztowe</t>
  </si>
  <si>
    <t>RZK-209</t>
  </si>
  <si>
    <t>520-20-19-01</t>
  </si>
  <si>
    <t>druk podręcznika do języka białoruskiego</t>
  </si>
  <si>
    <t>RZK-212</t>
  </si>
  <si>
    <t>tłumaczenie artykułu z j.polskiego na rosyjski - Otwarte Podlasie</t>
  </si>
  <si>
    <t>RZK-218</t>
  </si>
  <si>
    <t>RZK-220</t>
  </si>
  <si>
    <t xml:space="preserve">kwiaty - promocja książki "Pisarz i Bóg" </t>
  </si>
  <si>
    <t>LP-56</t>
  </si>
  <si>
    <t>wynagrodzenie pracowników 10/2013</t>
  </si>
  <si>
    <t>LP-57</t>
  </si>
  <si>
    <t>umowy zlecenia i o dzieło m-c 10/2013</t>
  </si>
  <si>
    <t>RZK-226</t>
  </si>
  <si>
    <t>druk magazynu Otwarte Podlasie nr 1</t>
  </si>
  <si>
    <t>RZK-227</t>
  </si>
  <si>
    <t>520-20-20</t>
  </si>
  <si>
    <t>druk "Poznaj Białoruś"</t>
  </si>
  <si>
    <t>RZK-229</t>
  </si>
  <si>
    <t>520-20-01-02</t>
  </si>
  <si>
    <t>paliwo do sam.służbowego BI 2631L - dystrybucja PP wraz z dodatkami</t>
  </si>
  <si>
    <t>RZK-230</t>
  </si>
  <si>
    <t>usługi pocztowe -dystrybucja Czytania 2014</t>
  </si>
  <si>
    <t>RZK-233</t>
  </si>
  <si>
    <t>opony zimowe - BI 2631L</t>
  </si>
  <si>
    <t>RZK-235</t>
  </si>
  <si>
    <t>wysyłka Czytania 2013, znaczki na potrzeby redakcji PP</t>
  </si>
  <si>
    <t>RZK-236</t>
  </si>
  <si>
    <t>części + usługa - naprawa BI 2631L</t>
  </si>
  <si>
    <t>RZK-237</t>
  </si>
  <si>
    <t>usługi pocztowe -dystrybucja PP wraz z dodatkami</t>
  </si>
  <si>
    <t>RZK-241</t>
  </si>
  <si>
    <t>RZK-242</t>
  </si>
  <si>
    <t>papier na okładkę PP i Otwarte Podlasie</t>
  </si>
  <si>
    <t>RZK-243</t>
  </si>
  <si>
    <t>papier SILK  - PP + Otwarte Podlasie</t>
  </si>
  <si>
    <t>RZK-246</t>
  </si>
  <si>
    <t>RZK-252</t>
  </si>
  <si>
    <t>paliwo sam zastępczy BIA 70YE - dystrybucja PP wraz z dodatkami</t>
  </si>
  <si>
    <t>RZK-255</t>
  </si>
  <si>
    <t xml:space="preserve">druk Otwarte Podlasie </t>
  </si>
  <si>
    <t>LP-62</t>
  </si>
  <si>
    <t>wynagrodzenie pracowników 11/2013</t>
  </si>
  <si>
    <t>LP-63</t>
  </si>
  <si>
    <t>umowy zlecenia i o dzieło 11/2013</t>
  </si>
  <si>
    <t>RZK-259</t>
  </si>
  <si>
    <t>przegląd kasy fiskalnej</t>
  </si>
  <si>
    <t>RZK-261</t>
  </si>
  <si>
    <t>RZK-263</t>
  </si>
  <si>
    <t>dystrybucja Czytania 2014</t>
  </si>
  <si>
    <t>RZK-268</t>
  </si>
  <si>
    <t>czynsz za m-c 12/2013</t>
  </si>
  <si>
    <t>RZK-270</t>
  </si>
  <si>
    <t>przeprogramowanie kasy fiskalnej</t>
  </si>
  <si>
    <t>RZK-274</t>
  </si>
  <si>
    <t>RZK-279</t>
  </si>
  <si>
    <t>druk Otwarte Podlasie</t>
  </si>
  <si>
    <t>LP-68</t>
  </si>
  <si>
    <t>wynagrodzenie pracowników 12/2013</t>
  </si>
  <si>
    <t>LP-69</t>
  </si>
  <si>
    <t>umowy zlecenia i o dzieło 12/2013</t>
  </si>
  <si>
    <t>usł</t>
  </si>
  <si>
    <t>mat</t>
  </si>
  <si>
    <t>wyn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</si>
</sst>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5" formatCode="_-* #,##0.00\ _z_ł_-;\-* #,##0.00\ _z_ł_-;_-* &quot;-&quot;??\ _z_ł_-;_-@_-"/>
    <numFmt numFmtId="166" formatCode="_-* #,##0.00\ _z_ł_-;\-* #,##0.00\ _z_ł_-;_-* \-??\ _z_ł_-;_-@_-"/>
    <numFmt numFmtId="167" formatCode="yyyy\-mm\-dd"/>
    <numFmt numFmtId="168" formatCode="_(* #,##0.00_);_(* \(#,##0.00\);_(* \-??_);_(@_)"/>
    <numFmt numFmtId="169" formatCode="d\ mmmm\ yyyy"/>
    <numFmt numFmtId="170" formatCode="#,##0.00_ ;\-#,##0.00\ "/>
    <numFmt numFmtId="174" formatCode="&quot;Nota &quot;#;;;&quot;Nota &quot;@"/>
    <numFmt numFmtId="179" formatCode="&quot;Nota &quot;#\a;;;&quot;Nota &quot;@\a"/>
    <numFmt numFmtId="180" formatCode="&quot;Nota &quot;#\b;;;&quot;Nota &quot;@\b"/>
    <numFmt numFmtId="182" formatCode="&quot;Nota &quot;#\c;;;&quot;Nota &quot;@\c"/>
    <numFmt numFmtId="183" formatCode="\ "/>
    <numFmt numFmtId="185" formatCode="_(* #,##0.00_);_(* \(#,##0.00\);_(* &quot;-&quot;??_);_(@_)"/>
  </numFmts>
  <fonts count="19" x14ac:knownFonts="1">
    <font>
      <sz val="10"/>
      <name val="Arial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color indexed="9"/>
      <name val="Times New Roman"/>
      <family val="1"/>
      <charset val="238"/>
    </font>
    <font>
      <i/>
      <sz val="9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9"/>
      <name val="Times New Roman"/>
      <family val="1"/>
    </font>
    <font>
      <sz val="10"/>
      <name val="Times New Roman"/>
      <family val="1"/>
    </font>
    <font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Times New Roman CE"/>
      <family val="1"/>
      <charset val="238"/>
    </font>
    <font>
      <sz val="10"/>
      <name val="Arial CE"/>
      <charset val="238"/>
    </font>
    <font>
      <i/>
      <sz val="12"/>
      <name val="Times New Roman"/>
      <family val="1"/>
      <charset val="238"/>
    </font>
    <font>
      <sz val="8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31"/>
        <bgColor indexed="42"/>
      </patternFill>
    </fill>
    <fill>
      <patternFill patternType="solid">
        <fgColor indexed="9"/>
        <bgColor indexed="26"/>
      </patternFill>
    </fill>
    <fill>
      <patternFill patternType="solid">
        <fgColor indexed="57"/>
        <bgColor indexed="21"/>
      </patternFill>
    </fill>
    <fill>
      <patternFill patternType="solid">
        <fgColor indexed="42"/>
        <bgColor indexed="27"/>
      </patternFill>
    </fill>
    <fill>
      <patternFill patternType="solid">
        <fgColor indexed="62"/>
        <bgColor indexed="56"/>
      </patternFill>
    </fill>
    <fill>
      <patternFill patternType="solid">
        <fgColor indexed="27"/>
        <bgColor indexed="41"/>
      </patternFill>
    </fill>
    <fill>
      <patternFill patternType="solid">
        <fgColor indexed="51"/>
        <bgColor indexed="13"/>
      </patternFill>
    </fill>
    <fill>
      <patternFill patternType="solid">
        <fgColor indexed="43"/>
        <bgColor indexed="26"/>
      </patternFill>
    </fill>
    <fill>
      <patternFill patternType="solid">
        <fgColor indexed="23"/>
        <bgColor indexed="55"/>
      </patternFill>
    </fill>
    <fill>
      <patternFill patternType="solid">
        <fgColor indexed="22"/>
        <bgColor indexed="31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16" fillId="2" borderId="0" applyNumberFormat="0" applyBorder="0" applyAlignment="0">
      <protection hidden="1"/>
    </xf>
  </cellStyleXfs>
  <cellXfs count="166">
    <xf numFmtId="0" fontId="0" fillId="0" borderId="0" xfId="0"/>
    <xf numFmtId="0" fontId="1" fillId="0" borderId="0" xfId="0" applyFont="1"/>
    <xf numFmtId="166" fontId="1" fillId="0" borderId="0" xfId="0" applyNumberFormat="1" applyFont="1"/>
    <xf numFmtId="0" fontId="0" fillId="0" borderId="0" xfId="0" applyFont="1" applyAlignment="1">
      <alignment horizontal="left"/>
    </xf>
    <xf numFmtId="0" fontId="3" fillId="0" borderId="1" xfId="0" applyFont="1" applyBorder="1" applyAlignment="1" applyProtection="1">
      <alignment horizontal="center" vertical="center" wrapText="1"/>
      <protection hidden="1"/>
    </xf>
    <xf numFmtId="167" fontId="3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167" fontId="3" fillId="0" borderId="1" xfId="0" applyNumberFormat="1" applyFont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vertical="center" wrapText="1"/>
      <protection hidden="1"/>
    </xf>
    <xf numFmtId="168" fontId="2" fillId="0" borderId="1" xfId="0" applyNumberFormat="1" applyFont="1" applyFill="1" applyBorder="1" applyAlignment="1" applyProtection="1">
      <alignment horizontal="right" vertical="center" wrapText="1"/>
      <protection hidden="1"/>
    </xf>
    <xf numFmtId="168" fontId="2" fillId="0" borderId="1" xfId="0" applyNumberFormat="1" applyFont="1" applyFill="1" applyBorder="1" applyAlignment="1" applyProtection="1">
      <alignment horizontal="right" vertical="center"/>
      <protection hidden="1"/>
    </xf>
    <xf numFmtId="0" fontId="2" fillId="0" borderId="1" xfId="0" applyFont="1" applyBorder="1" applyAlignment="1" applyProtection="1">
      <alignment vertical="center" wrapText="1"/>
      <protection hidden="1"/>
    </xf>
    <xf numFmtId="168" fontId="2" fillId="0" borderId="1" xfId="0" applyNumberFormat="1" applyFont="1" applyBorder="1" applyAlignment="1" applyProtection="1">
      <alignment horizontal="right" vertical="center" wrapText="1"/>
      <protection hidden="1"/>
    </xf>
    <xf numFmtId="168" fontId="2" fillId="3" borderId="1" xfId="0" applyNumberFormat="1" applyFont="1" applyFill="1" applyBorder="1" applyAlignment="1" applyProtection="1">
      <alignment horizontal="right" vertical="center"/>
      <protection locked="0" hidden="1"/>
    </xf>
    <xf numFmtId="0" fontId="1" fillId="0" borderId="1" xfId="0" applyFont="1" applyBorder="1" applyAlignment="1" applyProtection="1">
      <alignment vertical="center" wrapText="1"/>
      <protection hidden="1"/>
    </xf>
    <xf numFmtId="168" fontId="1" fillId="3" borderId="1" xfId="0" applyNumberFormat="1" applyFont="1" applyFill="1" applyBorder="1" applyAlignment="1" applyProtection="1">
      <alignment horizontal="right" vertical="center" wrapText="1"/>
      <protection locked="0" hidden="1"/>
    </xf>
    <xf numFmtId="168" fontId="1" fillId="0" borderId="1" xfId="0" applyNumberFormat="1" applyFont="1" applyBorder="1" applyAlignment="1" applyProtection="1">
      <alignment horizontal="right" vertical="center" wrapText="1"/>
      <protection hidden="1"/>
    </xf>
    <xf numFmtId="0" fontId="6" fillId="0" borderId="2" xfId="0" applyFont="1" applyFill="1" applyBorder="1" applyAlignment="1" applyProtection="1">
      <alignment vertical="center" wrapText="1"/>
      <protection hidden="1"/>
    </xf>
    <xf numFmtId="168" fontId="2" fillId="0" borderId="1" xfId="0" applyNumberFormat="1" applyFont="1" applyBorder="1" applyAlignment="1" applyProtection="1">
      <alignment horizontal="right" vertical="center"/>
      <protection hidden="1"/>
    </xf>
    <xf numFmtId="0" fontId="1" fillId="0" borderId="1" xfId="0" applyFont="1" applyFill="1" applyBorder="1" applyAlignment="1" applyProtection="1">
      <alignment vertical="center" wrapText="1"/>
      <protection hidden="1"/>
    </xf>
    <xf numFmtId="168" fontId="1" fillId="3" borderId="1" xfId="0" applyNumberFormat="1" applyFont="1" applyFill="1" applyBorder="1" applyAlignment="1" applyProtection="1">
      <alignment horizontal="right" vertical="center"/>
      <protection locked="0" hidden="1"/>
    </xf>
    <xf numFmtId="168" fontId="1" fillId="0" borderId="1" xfId="0" applyNumberFormat="1" applyFont="1" applyBorder="1" applyAlignment="1" applyProtection="1">
      <alignment horizontal="right" vertical="center"/>
      <protection hidden="1"/>
    </xf>
    <xf numFmtId="168" fontId="1" fillId="0" borderId="0" xfId="0" applyNumberFormat="1" applyFont="1"/>
    <xf numFmtId="168" fontId="1" fillId="0" borderId="1" xfId="0" applyNumberFormat="1" applyFont="1" applyFill="1" applyBorder="1" applyAlignment="1" applyProtection="1">
      <alignment horizontal="right" vertical="center" wrapText="1"/>
      <protection hidden="1"/>
    </xf>
    <xf numFmtId="168" fontId="1" fillId="0" borderId="1" xfId="0" applyNumberFormat="1" applyFont="1" applyFill="1" applyBorder="1" applyAlignment="1" applyProtection="1">
      <alignment horizontal="right" vertical="center"/>
      <protection locked="0" hidden="1"/>
    </xf>
    <xf numFmtId="168" fontId="2" fillId="3" borderId="1" xfId="0" applyNumberFormat="1" applyFont="1" applyFill="1" applyBorder="1" applyAlignment="1" applyProtection="1">
      <alignment horizontal="right" vertical="center" wrapText="1"/>
      <protection locked="0" hidden="1"/>
    </xf>
    <xf numFmtId="0" fontId="7" fillId="0" borderId="0" xfId="0" applyFont="1"/>
    <xf numFmtId="169" fontId="1" fillId="3" borderId="0" xfId="0" applyNumberFormat="1" applyFont="1" applyFill="1" applyAlignment="1" applyProtection="1">
      <alignment horizontal="center"/>
      <protection locked="0" hidden="1"/>
    </xf>
    <xf numFmtId="170" fontId="1" fillId="0" borderId="0" xfId="0" applyNumberFormat="1" applyFont="1" applyAlignment="1" applyProtection="1">
      <alignment vertical="center"/>
      <protection hidden="1"/>
    </xf>
    <xf numFmtId="169" fontId="1" fillId="0" borderId="0" xfId="0" applyNumberFormat="1" applyFont="1" applyFill="1" applyAlignment="1" applyProtection="1">
      <alignment horizontal="center"/>
      <protection hidden="1"/>
    </xf>
    <xf numFmtId="166" fontId="8" fillId="0" borderId="0" xfId="0" applyNumberFormat="1" applyFont="1" applyAlignment="1" applyProtection="1">
      <alignment horizontal="center" vertical="center"/>
      <protection hidden="1"/>
    </xf>
    <xf numFmtId="166" fontId="8" fillId="0" borderId="0" xfId="0" applyNumberFormat="1" applyFont="1" applyBorder="1" applyAlignment="1" applyProtection="1">
      <alignment horizontal="center" vertical="center" wrapText="1"/>
      <protection hidden="1"/>
    </xf>
    <xf numFmtId="166" fontId="8" fillId="0" borderId="0" xfId="0" applyNumberFormat="1" applyFont="1" applyAlignment="1" applyProtection="1">
      <alignment horizontal="center" vertical="center" wrapText="1"/>
      <protection hidden="1"/>
    </xf>
    <xf numFmtId="0" fontId="1" fillId="0" borderId="0" xfId="0" applyFont="1" applyProtection="1">
      <protection hidden="1"/>
    </xf>
    <xf numFmtId="166" fontId="1" fillId="0" borderId="0" xfId="0" applyNumberFormat="1" applyFont="1" applyProtection="1">
      <protection hidden="1"/>
    </xf>
    <xf numFmtId="0" fontId="9" fillId="0" borderId="0" xfId="0" applyFont="1" applyAlignment="1" applyProtection="1">
      <alignment horizontal="right"/>
      <protection hidden="1"/>
    </xf>
    <xf numFmtId="166" fontId="9" fillId="0" borderId="0" xfId="0" applyNumberFormat="1" applyFont="1" applyProtection="1">
      <protection hidden="1"/>
    </xf>
    <xf numFmtId="0" fontId="9" fillId="0" borderId="0" xfId="0" applyFont="1" applyFill="1" applyBorder="1" applyAlignment="1" applyProtection="1">
      <alignment horizontal="right" vertical="center" wrapText="1"/>
      <protection hidden="1"/>
    </xf>
    <xf numFmtId="0" fontId="9" fillId="0" borderId="0" xfId="0" applyNumberFormat="1" applyFont="1"/>
    <xf numFmtId="0" fontId="10" fillId="0" borderId="0" xfId="0" applyFont="1" applyProtection="1">
      <protection hidden="1"/>
    </xf>
    <xf numFmtId="166" fontId="10" fillId="0" borderId="0" xfId="0" applyNumberFormat="1" applyFont="1" applyProtection="1">
      <protection hidden="1"/>
    </xf>
    <xf numFmtId="166" fontId="1" fillId="0" borderId="0" xfId="0" applyNumberFormat="1" applyFont="1" applyAlignment="1" applyProtection="1">
      <alignment vertical="center"/>
      <protection hidden="1"/>
    </xf>
    <xf numFmtId="0" fontId="1" fillId="0" borderId="0" xfId="0" applyFont="1" applyFill="1" applyProtection="1">
      <protection hidden="1"/>
    </xf>
    <xf numFmtId="166" fontId="2" fillId="3" borderId="0" xfId="0" applyNumberFormat="1" applyFont="1" applyFill="1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166" fontId="4" fillId="0" borderId="1" xfId="0" applyNumberFormat="1" applyFont="1" applyBorder="1" applyAlignment="1" applyProtection="1">
      <alignment horizontal="center" vertical="center" wrapText="1"/>
      <protection hidden="1"/>
    </xf>
    <xf numFmtId="168" fontId="2" fillId="0" borderId="1" xfId="0" applyNumberFormat="1" applyFont="1" applyFill="1" applyBorder="1" applyAlignment="1" applyProtection="1">
      <alignment horizontal="center" vertical="center"/>
      <protection hidden="1"/>
    </xf>
    <xf numFmtId="168" fontId="10" fillId="3" borderId="1" xfId="0" applyNumberFormat="1" applyFont="1" applyFill="1" applyBorder="1" applyAlignment="1" applyProtection="1">
      <alignment vertical="center" wrapText="1"/>
      <protection locked="0" hidden="1"/>
    </xf>
    <xf numFmtId="168" fontId="1" fillId="3" borderId="1" xfId="0" applyNumberFormat="1" applyFont="1" applyFill="1" applyBorder="1" applyAlignment="1" applyProtection="1">
      <alignment horizontal="center" vertical="center"/>
      <protection locked="0" hidden="1"/>
    </xf>
    <xf numFmtId="168" fontId="10" fillId="3" borderId="1" xfId="0" applyNumberFormat="1" applyFont="1" applyFill="1" applyBorder="1" applyAlignment="1" applyProtection="1">
      <alignment horizontal="center" vertical="center"/>
      <protection locked="0" hidden="1"/>
    </xf>
    <xf numFmtId="168" fontId="2" fillId="3" borderId="1" xfId="0" applyNumberFormat="1" applyFont="1" applyFill="1" applyBorder="1" applyAlignment="1" applyProtection="1">
      <alignment horizontal="center" vertical="center"/>
      <protection hidden="1"/>
    </xf>
    <xf numFmtId="168" fontId="2" fillId="3" borderId="1" xfId="0" applyNumberFormat="1" applyFont="1" applyFill="1" applyBorder="1" applyAlignment="1" applyProtection="1">
      <alignment horizontal="center" vertical="center"/>
      <protection locked="0" hidden="1"/>
    </xf>
    <xf numFmtId="0" fontId="1" fillId="0" borderId="0" xfId="0" applyFont="1" applyFill="1" applyAlignment="1" applyProtection="1">
      <alignment horizontal="center"/>
      <protection hidden="1"/>
    </xf>
    <xf numFmtId="169" fontId="1" fillId="0" borderId="0" xfId="0" applyNumberFormat="1" applyFont="1" applyFill="1" applyBorder="1" applyAlignment="1" applyProtection="1">
      <alignment horizontal="center"/>
      <protection hidden="1"/>
    </xf>
    <xf numFmtId="166" fontId="1" fillId="0" borderId="0" xfId="0" applyNumberFormat="1" applyFont="1" applyFill="1" applyBorder="1" applyAlignment="1" applyProtection="1">
      <alignment horizontal="center"/>
      <protection hidden="1"/>
    </xf>
    <xf numFmtId="166" fontId="1" fillId="0" borderId="0" xfId="0" applyNumberFormat="1" applyFont="1" applyFill="1" applyBorder="1" applyAlignment="1" applyProtection="1">
      <alignment horizontal="center" wrapText="1"/>
      <protection hidden="1"/>
    </xf>
    <xf numFmtId="169" fontId="11" fillId="0" borderId="0" xfId="0" applyNumberFormat="1" applyFont="1" applyAlignment="1" applyProtection="1">
      <alignment horizontal="left" wrapText="1"/>
      <protection hidden="1"/>
    </xf>
    <xf numFmtId="166" fontId="12" fillId="0" borderId="0" xfId="0" applyNumberFormat="1" applyFont="1" applyFill="1" applyAlignment="1" applyProtection="1">
      <alignment horizontal="center"/>
      <protection hidden="1"/>
    </xf>
    <xf numFmtId="170" fontId="12" fillId="0" borderId="0" xfId="0" applyNumberFormat="1" applyFont="1" applyFill="1" applyAlignment="1" applyProtection="1">
      <alignment horizontal="center"/>
      <protection hidden="1"/>
    </xf>
    <xf numFmtId="0" fontId="9" fillId="0" borderId="0" xfId="0" applyFont="1" applyFill="1" applyAlignment="1" applyProtection="1">
      <alignment horizontal="right"/>
      <protection hidden="1"/>
    </xf>
    <xf numFmtId="166" fontId="9" fillId="0" borderId="0" xfId="0" applyNumberFormat="1" applyFont="1" applyFill="1" applyAlignment="1" applyProtection="1">
      <alignment horizontal="center"/>
      <protection hidden="1"/>
    </xf>
    <xf numFmtId="0" fontId="12" fillId="0" borderId="0" xfId="0" applyFont="1" applyFill="1" applyAlignment="1" applyProtection="1">
      <alignment horizontal="center"/>
      <protection hidden="1"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hidden="1"/>
    </xf>
    <xf numFmtId="168" fontId="9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0" fillId="0" borderId="0" xfId="0" applyFill="1" applyProtection="1">
      <protection locked="0"/>
    </xf>
    <xf numFmtId="169" fontId="0" fillId="0" borderId="0" xfId="0" applyNumberFormat="1" applyFill="1" applyProtection="1">
      <protection locked="0"/>
    </xf>
    <xf numFmtId="1" fontId="0" fillId="0" borderId="0" xfId="0" applyNumberFormat="1" applyFill="1" applyProtection="1">
      <protection locked="0"/>
    </xf>
    <xf numFmtId="0" fontId="13" fillId="0" borderId="0" xfId="0" applyFont="1" applyFill="1" applyAlignment="1" applyProtection="1">
      <alignment horizontal="left"/>
      <protection locked="0"/>
    </xf>
    <xf numFmtId="0" fontId="0" fillId="4" borderId="0" xfId="0" applyFill="1" applyProtection="1">
      <protection locked="0"/>
    </xf>
    <xf numFmtId="0" fontId="0" fillId="5" borderId="0" xfId="0" applyFill="1" applyProtection="1">
      <protection locked="0"/>
    </xf>
    <xf numFmtId="0" fontId="0" fillId="6" borderId="0" xfId="0" applyFill="1" applyProtection="1">
      <protection locked="0"/>
    </xf>
    <xf numFmtId="0" fontId="0" fillId="7" borderId="0" xfId="0" applyFill="1" applyProtection="1">
      <protection locked="0"/>
    </xf>
    <xf numFmtId="0" fontId="0" fillId="8" borderId="0" xfId="0" applyFill="1" applyProtection="1">
      <protection locked="0"/>
    </xf>
    <xf numFmtId="0" fontId="0" fillId="9" borderId="0" xfId="0" applyFill="1" applyProtection="1">
      <protection locked="0"/>
    </xf>
    <xf numFmtId="0" fontId="14" fillId="10" borderId="0" xfId="0" applyFont="1" applyFill="1" applyProtection="1">
      <protection locked="0"/>
    </xf>
    <xf numFmtId="0" fontId="0" fillId="11" borderId="0" xfId="0" applyFill="1" applyProtection="1">
      <protection locked="0"/>
    </xf>
    <xf numFmtId="0" fontId="13" fillId="0" borderId="0" xfId="0" applyFont="1" applyFill="1"/>
    <xf numFmtId="0" fontId="13" fillId="0" borderId="0" xfId="0" applyFont="1" applyFill="1" applyAlignment="1"/>
    <xf numFmtId="183" fontId="15" fillId="0" borderId="0" xfId="0" applyNumberFormat="1" applyFont="1" applyFill="1" applyAlignment="1" applyProtection="1">
      <alignment wrapText="1"/>
      <protection locked="0"/>
    </xf>
    <xf numFmtId="183" fontId="15" fillId="0" borderId="0" xfId="0" applyNumberFormat="1" applyFont="1" applyFill="1" applyProtection="1">
      <protection locked="0"/>
    </xf>
    <xf numFmtId="0" fontId="0" fillId="0" borderId="0" xfId="0" applyNumberFormat="1" applyFill="1" applyProtection="1">
      <protection locked="0"/>
    </xf>
    <xf numFmtId="174" fontId="0" fillId="0" borderId="0" xfId="0" applyNumberFormat="1" applyFill="1" applyBorder="1" applyAlignment="1" applyProtection="1">
      <alignment horizontal="left" vertical="top"/>
      <protection locked="0"/>
    </xf>
    <xf numFmtId="179" fontId="0" fillId="0" borderId="0" xfId="0" applyNumberFormat="1" applyFill="1" applyBorder="1" applyAlignment="1" applyProtection="1">
      <alignment horizontal="left" vertical="top"/>
      <protection locked="0"/>
    </xf>
    <xf numFmtId="180" fontId="0" fillId="0" borderId="0" xfId="0" applyNumberFormat="1" applyFill="1" applyBorder="1" applyAlignment="1" applyProtection="1">
      <alignment horizontal="left" vertical="top"/>
      <protection locked="0"/>
    </xf>
    <xf numFmtId="182" fontId="0" fillId="0" borderId="0" xfId="0" applyNumberFormat="1" applyFill="1" applyBorder="1" applyAlignment="1" applyProtection="1">
      <alignment horizontal="left" vertical="top"/>
      <protection locked="0"/>
    </xf>
    <xf numFmtId="166" fontId="0" fillId="0" borderId="0" xfId="0" applyNumberFormat="1" applyFill="1" applyProtection="1">
      <protection locked="0"/>
    </xf>
    <xf numFmtId="179" fontId="0" fillId="0" borderId="0" xfId="0" applyNumberFormat="1" applyFill="1" applyAlignment="1" applyProtection="1">
      <alignment horizontal="left"/>
      <protection locked="0"/>
    </xf>
    <xf numFmtId="180" fontId="0" fillId="0" borderId="0" xfId="0" applyNumberFormat="1" applyFill="1" applyAlignment="1" applyProtection="1">
      <alignment horizontal="left"/>
      <protection locked="0"/>
    </xf>
    <xf numFmtId="165" fontId="1" fillId="0" borderId="0" xfId="0" applyNumberFormat="1" applyFont="1" applyFill="1" applyProtection="1">
      <protection hidden="1"/>
    </xf>
    <xf numFmtId="185" fontId="1" fillId="0" borderId="3" xfId="0" applyNumberFormat="1" applyFont="1" applyBorder="1" applyAlignment="1" applyProtection="1">
      <alignment horizontal="right" vertical="center" wrapText="1"/>
      <protection hidden="1"/>
    </xf>
    <xf numFmtId="0" fontId="2" fillId="0" borderId="1" xfId="0" applyFont="1" applyFill="1" applyBorder="1" applyAlignment="1" applyProtection="1">
      <alignment horizontal="left" vertical="center" wrapText="1"/>
      <protection hidden="1"/>
    </xf>
    <xf numFmtId="166" fontId="2" fillId="3" borderId="0" xfId="0" applyNumberFormat="1" applyFont="1" applyFill="1" applyBorder="1" applyAlignment="1">
      <alignment horizontal="left"/>
    </xf>
    <xf numFmtId="0" fontId="4" fillId="0" borderId="1" xfId="0" applyFont="1" applyBorder="1" applyAlignment="1" applyProtection="1">
      <alignment horizontal="left" vertical="center" wrapText="1"/>
      <protection hidden="1"/>
    </xf>
    <xf numFmtId="0" fontId="3" fillId="0" borderId="1" xfId="0" applyFont="1" applyBorder="1" applyAlignment="1" applyProtection="1">
      <alignment horizontal="left" vertical="center" wrapText="1"/>
      <protection hidden="1"/>
    </xf>
    <xf numFmtId="168" fontId="3" fillId="0" borderId="1" xfId="0" applyNumberFormat="1" applyFont="1" applyBorder="1" applyAlignment="1" applyProtection="1">
      <alignment vertical="center" wrapText="1"/>
      <protection hidden="1"/>
    </xf>
    <xf numFmtId="0" fontId="17" fillId="0" borderId="1" xfId="0" applyFont="1" applyBorder="1" applyAlignment="1" applyProtection="1">
      <alignment horizontal="left" vertical="center" wrapText="1"/>
      <protection hidden="1"/>
    </xf>
    <xf numFmtId="168" fontId="17" fillId="3" borderId="1" xfId="0" applyNumberFormat="1" applyFont="1" applyFill="1" applyBorder="1" applyAlignment="1" applyProtection="1">
      <alignment vertical="center" wrapText="1"/>
      <protection locked="0" hidden="1"/>
    </xf>
    <xf numFmtId="168" fontId="4" fillId="3" borderId="1" xfId="0" applyNumberFormat="1" applyFont="1" applyFill="1" applyBorder="1" applyAlignment="1" applyProtection="1">
      <alignment vertical="center" wrapText="1"/>
      <protection locked="0" hidden="1"/>
    </xf>
    <xf numFmtId="168" fontId="3" fillId="0" borderId="1" xfId="0" applyNumberFormat="1" applyFont="1" applyFill="1" applyBorder="1" applyAlignment="1" applyProtection="1">
      <alignment vertical="center" wrapText="1"/>
      <protection hidden="1"/>
    </xf>
    <xf numFmtId="168" fontId="17" fillId="3" borderId="1" xfId="0" applyNumberFormat="1" applyFont="1" applyFill="1" applyBorder="1" applyAlignment="1" applyProtection="1">
      <alignment vertical="center"/>
      <protection locked="0" hidden="1"/>
    </xf>
    <xf numFmtId="168" fontId="3" fillId="3" borderId="1" xfId="0" applyNumberFormat="1" applyFont="1" applyFill="1" applyBorder="1" applyAlignment="1" applyProtection="1">
      <alignment vertical="center" wrapText="1"/>
      <protection locked="0" hidden="1"/>
    </xf>
    <xf numFmtId="0" fontId="3" fillId="0" borderId="4" xfId="0" applyFont="1" applyBorder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168" fontId="4" fillId="0" borderId="0" xfId="0" applyNumberFormat="1" applyFont="1" applyAlignment="1" applyProtection="1">
      <alignment vertical="center"/>
      <protection hidden="1"/>
    </xf>
    <xf numFmtId="169" fontId="4" fillId="0" borderId="0" xfId="0" applyNumberFormat="1" applyFont="1" applyFill="1" applyAlignment="1" applyProtection="1">
      <alignment horizontal="right" vertical="center"/>
      <protection hidden="1"/>
    </xf>
    <xf numFmtId="165" fontId="1" fillId="0" borderId="0" xfId="0" applyNumberFormat="1" applyFont="1"/>
    <xf numFmtId="0" fontId="18" fillId="0" borderId="0" xfId="0" applyFont="1" applyAlignment="1">
      <alignment vertical="top"/>
    </xf>
    <xf numFmtId="169" fontId="4" fillId="0" borderId="0" xfId="0" applyNumberFormat="1" applyFont="1" applyFill="1" applyAlignment="1" applyProtection="1">
      <alignment vertical="center" wrapText="1"/>
      <protection hidden="1"/>
    </xf>
    <xf numFmtId="0" fontId="9" fillId="0" borderId="0" xfId="0" applyFont="1" applyAlignment="1" applyProtection="1">
      <alignment horizontal="left" vertical="center"/>
      <protection hidden="1"/>
    </xf>
    <xf numFmtId="4" fontId="9" fillId="0" borderId="0" xfId="0" applyNumberFormat="1" applyFont="1" applyFill="1" applyAlignment="1" applyProtection="1">
      <alignment horizontal="right"/>
      <protection hidden="1"/>
    </xf>
    <xf numFmtId="4" fontId="2" fillId="3" borderId="0" xfId="0" applyNumberFormat="1" applyFont="1" applyFill="1" applyBorder="1" applyAlignment="1">
      <alignment horizontal="right"/>
    </xf>
    <xf numFmtId="4" fontId="18" fillId="0" borderId="0" xfId="0" applyNumberFormat="1" applyFont="1" applyAlignment="1">
      <alignment horizontal="right" vertical="top"/>
    </xf>
    <xf numFmtId="4" fontId="3" fillId="3" borderId="1" xfId="0" applyNumberFormat="1" applyFont="1" applyFill="1" applyBorder="1" applyAlignment="1" applyProtection="1">
      <alignment horizontal="right" vertical="center" wrapText="1"/>
      <protection locked="0" hidden="1"/>
    </xf>
    <xf numFmtId="4" fontId="3" fillId="0" borderId="1" xfId="0" applyNumberFormat="1" applyFont="1" applyBorder="1" applyAlignment="1" applyProtection="1">
      <alignment horizontal="right" vertical="center" wrapText="1"/>
      <protection hidden="1"/>
    </xf>
    <xf numFmtId="4" fontId="17" fillId="0" borderId="1" xfId="0" applyNumberFormat="1" applyFont="1" applyBorder="1" applyAlignment="1" applyProtection="1">
      <alignment horizontal="right" vertical="center" wrapText="1"/>
      <protection hidden="1"/>
    </xf>
    <xf numFmtId="4" fontId="4" fillId="0" borderId="1" xfId="0" applyNumberFormat="1" applyFont="1" applyBorder="1" applyAlignment="1" applyProtection="1">
      <alignment horizontal="right" vertical="center" wrapText="1"/>
      <protection hidden="1"/>
    </xf>
    <xf numFmtId="4" fontId="3" fillId="0" borderId="4" xfId="0" applyNumberFormat="1" applyFont="1" applyBorder="1" applyAlignment="1" applyProtection="1">
      <alignment horizontal="right" vertical="center" wrapText="1"/>
      <protection hidden="1"/>
    </xf>
    <xf numFmtId="4" fontId="4" fillId="0" borderId="0" xfId="0" applyNumberFormat="1" applyFont="1" applyAlignment="1" applyProtection="1">
      <alignment horizontal="right" vertical="center"/>
      <protection hidden="1"/>
    </xf>
    <xf numFmtId="4" fontId="4" fillId="0" borderId="0" xfId="0" applyNumberFormat="1" applyFont="1" applyFill="1" applyAlignment="1" applyProtection="1">
      <alignment horizontal="right" vertical="center" wrapText="1"/>
      <protection hidden="1"/>
    </xf>
    <xf numFmtId="4" fontId="9" fillId="0" borderId="0" xfId="0" applyNumberFormat="1" applyFont="1" applyAlignment="1" applyProtection="1">
      <alignment horizontal="right" vertical="center"/>
      <protection hidden="1"/>
    </xf>
    <xf numFmtId="4" fontId="1" fillId="0" borderId="0" xfId="0" applyNumberFormat="1" applyFont="1" applyAlignment="1" applyProtection="1">
      <alignment horizontal="right" vertical="center"/>
      <protection hidden="1"/>
    </xf>
    <xf numFmtId="4" fontId="1" fillId="0" borderId="0" xfId="0" applyNumberFormat="1" applyFont="1" applyAlignment="1">
      <alignment horizontal="right" vertical="center"/>
    </xf>
    <xf numFmtId="14" fontId="0" fillId="0" borderId="0" xfId="0" applyNumberFormat="1"/>
    <xf numFmtId="4" fontId="0" fillId="0" borderId="0" xfId="0" applyNumberFormat="1"/>
    <xf numFmtId="4" fontId="1" fillId="0" borderId="1" xfId="0" applyNumberFormat="1" applyFont="1" applyBorder="1"/>
    <xf numFmtId="168" fontId="1" fillId="0" borderId="5" xfId="0" applyNumberFormat="1" applyFont="1" applyBorder="1" applyAlignment="1" applyProtection="1">
      <alignment horizontal="right" vertical="center"/>
      <protection hidden="1"/>
    </xf>
    <xf numFmtId="168" fontId="1" fillId="0" borderId="2" xfId="0" applyNumberFormat="1" applyFont="1" applyBorder="1" applyAlignment="1" applyProtection="1">
      <alignment horizontal="right" vertical="center"/>
      <protection hidden="1"/>
    </xf>
    <xf numFmtId="168" fontId="1" fillId="3" borderId="5" xfId="0" applyNumberFormat="1" applyFont="1" applyFill="1" applyBorder="1" applyAlignment="1" applyProtection="1">
      <alignment horizontal="right" vertical="center"/>
      <protection locked="0" hidden="1"/>
    </xf>
    <xf numFmtId="168" fontId="1" fillId="3" borderId="2" xfId="0" applyNumberFormat="1" applyFont="1" applyFill="1" applyBorder="1" applyAlignment="1" applyProtection="1">
      <alignment horizontal="right" vertical="center"/>
      <protection locked="0" hidden="1"/>
    </xf>
    <xf numFmtId="168" fontId="2" fillId="0" borderId="5" xfId="0" applyNumberFormat="1" applyFont="1" applyBorder="1" applyAlignment="1" applyProtection="1">
      <alignment horizontal="right" vertical="center"/>
      <protection hidden="1"/>
    </xf>
    <xf numFmtId="168" fontId="2" fillId="0" borderId="2" xfId="0" applyNumberFormat="1" applyFont="1" applyBorder="1" applyAlignment="1" applyProtection="1">
      <alignment horizontal="right" vertical="center"/>
      <protection hidden="1"/>
    </xf>
    <xf numFmtId="168" fontId="1" fillId="0" borderId="1" xfId="0" applyNumberFormat="1" applyFont="1" applyBorder="1" applyAlignment="1" applyProtection="1">
      <alignment horizontal="right" vertical="center"/>
      <protection hidden="1"/>
    </xf>
    <xf numFmtId="168" fontId="2" fillId="0" borderId="1" xfId="0" applyNumberFormat="1" applyFont="1" applyBorder="1" applyAlignment="1" applyProtection="1">
      <alignment horizontal="right" vertical="center"/>
      <protection hidden="1"/>
    </xf>
    <xf numFmtId="168" fontId="2" fillId="3" borderId="5" xfId="0" applyNumberFormat="1" applyFont="1" applyFill="1" applyBorder="1" applyAlignment="1" applyProtection="1">
      <alignment horizontal="right" vertical="center"/>
      <protection locked="0" hidden="1"/>
    </xf>
    <xf numFmtId="168" fontId="2" fillId="3" borderId="2" xfId="0" applyNumberFormat="1" applyFont="1" applyFill="1" applyBorder="1" applyAlignment="1" applyProtection="1">
      <alignment horizontal="right" vertical="center"/>
      <protection locked="0" hidden="1"/>
    </xf>
    <xf numFmtId="168" fontId="2" fillId="0" borderId="5" xfId="0" applyNumberFormat="1" applyFont="1" applyFill="1" applyBorder="1" applyAlignment="1" applyProtection="1">
      <alignment horizontal="right" vertical="center"/>
      <protection hidden="1"/>
    </xf>
    <xf numFmtId="168" fontId="2" fillId="0" borderId="2" xfId="0" applyNumberFormat="1" applyFont="1" applyFill="1" applyBorder="1" applyAlignment="1" applyProtection="1">
      <alignment horizontal="right" vertical="center"/>
      <protection hidden="1"/>
    </xf>
    <xf numFmtId="168" fontId="1" fillId="3" borderId="1" xfId="0" applyNumberFormat="1" applyFont="1" applyFill="1" applyBorder="1" applyAlignment="1" applyProtection="1">
      <alignment horizontal="right" vertical="center"/>
      <protection locked="0" hidden="1"/>
    </xf>
    <xf numFmtId="166" fontId="8" fillId="0" borderId="0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 applyProtection="1">
      <alignment vertical="center" wrapText="1"/>
      <protection hidden="1"/>
    </xf>
    <xf numFmtId="166" fontId="1" fillId="3" borderId="0" xfId="0" applyNumberFormat="1" applyFont="1" applyFill="1" applyBorder="1" applyAlignment="1">
      <alignment horizontal="left" vertical="top"/>
    </xf>
    <xf numFmtId="166" fontId="2" fillId="3" borderId="0" xfId="0" applyNumberFormat="1" applyFont="1" applyFill="1" applyBorder="1" applyAlignment="1">
      <alignment horizontal="left"/>
    </xf>
    <xf numFmtId="0" fontId="5" fillId="0" borderId="6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vertical="center" wrapText="1"/>
      <protection hidden="1"/>
    </xf>
    <xf numFmtId="168" fontId="2" fillId="3" borderId="1" xfId="0" applyNumberFormat="1" applyFont="1" applyFill="1" applyBorder="1" applyAlignment="1" applyProtection="1">
      <alignment horizontal="right" vertical="center"/>
      <protection locked="0" hidden="1"/>
    </xf>
    <xf numFmtId="0" fontId="2" fillId="0" borderId="1" xfId="0" applyFont="1" applyBorder="1" applyAlignment="1" applyProtection="1">
      <alignment horizontal="left" vertical="center" wrapText="1"/>
      <protection hidden="1"/>
    </xf>
    <xf numFmtId="0" fontId="2" fillId="0" borderId="1" xfId="0" applyFont="1" applyFill="1" applyBorder="1" applyAlignment="1" applyProtection="1">
      <alignment vertical="center" wrapText="1"/>
      <protection hidden="1"/>
    </xf>
    <xf numFmtId="168" fontId="2" fillId="0" borderId="1" xfId="0" applyNumberFormat="1" applyFont="1" applyFill="1" applyBorder="1" applyAlignment="1" applyProtection="1">
      <alignment horizontal="right" vertical="center"/>
      <protection hidden="1"/>
    </xf>
    <xf numFmtId="166" fontId="1" fillId="3" borderId="0" xfId="0" applyNumberFormat="1" applyFont="1" applyFill="1" applyBorder="1" applyAlignment="1">
      <alignment horizontal="left"/>
    </xf>
    <xf numFmtId="0" fontId="0" fillId="0" borderId="0" xfId="0" applyAlignment="1"/>
    <xf numFmtId="0" fontId="5" fillId="0" borderId="0" xfId="0" applyFont="1" applyBorder="1" applyAlignment="1" applyProtection="1">
      <alignment horizontal="center" vertical="center" wrapText="1"/>
      <protection hidden="1"/>
    </xf>
    <xf numFmtId="166" fontId="2" fillId="3" borderId="0" xfId="0" applyNumberFormat="1" applyFont="1" applyFill="1" applyBorder="1" applyAlignment="1">
      <alignment horizontal="center"/>
    </xf>
    <xf numFmtId="166" fontId="4" fillId="0" borderId="1" xfId="0" applyNumberFormat="1" applyFont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vertical="center"/>
      <protection hidden="1"/>
    </xf>
    <xf numFmtId="0" fontId="10" fillId="0" borderId="1" xfId="0" applyFont="1" applyFill="1" applyBorder="1" applyAlignment="1" applyProtection="1">
      <alignment vertical="center"/>
      <protection hidden="1"/>
    </xf>
    <xf numFmtId="0" fontId="1" fillId="0" borderId="1" xfId="0" applyFont="1" applyFill="1" applyBorder="1" applyAlignment="1" applyProtection="1">
      <alignment vertical="center"/>
      <protection hidden="1"/>
    </xf>
    <xf numFmtId="0" fontId="6" fillId="0" borderId="1" xfId="0" applyFont="1" applyFill="1" applyBorder="1" applyAlignment="1" applyProtection="1">
      <alignment vertical="center"/>
      <protection hidden="1"/>
    </xf>
    <xf numFmtId="169" fontId="1" fillId="0" borderId="0" xfId="0" applyNumberFormat="1" applyFont="1" applyFill="1" applyBorder="1" applyAlignment="1" applyProtection="1">
      <alignment horizontal="center"/>
      <protection hidden="1"/>
    </xf>
    <xf numFmtId="170" fontId="1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/>
      <protection locked="0"/>
    </xf>
  </cellXfs>
  <cellStyles count="2">
    <cellStyle name="FormBk" xfId="1"/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S162"/>
  <sheetViews>
    <sheetView tabSelected="1" topLeftCell="A70" workbookViewId="0">
      <selection activeCell="K66" sqref="K66"/>
    </sheetView>
  </sheetViews>
  <sheetFormatPr defaultRowHeight="12.75" x14ac:dyDescent="0.2"/>
  <cols>
    <col min="1" max="1" width="34.5703125" style="1" customWidth="1"/>
    <col min="2" max="2" width="19.85546875" style="2" customWidth="1"/>
    <col min="3" max="3" width="21" style="2" customWidth="1"/>
    <col min="4" max="4" width="19.85546875" style="2" hidden="1" customWidth="1"/>
    <col min="5" max="5" width="21.85546875" style="2" hidden="1" customWidth="1"/>
    <col min="6" max="8" width="17.140625" style="2" hidden="1" customWidth="1"/>
    <col min="9" max="9" width="34.5703125" style="1" customWidth="1"/>
    <col min="10" max="11" width="20.7109375" style="2" customWidth="1"/>
    <col min="12" max="12" width="20.7109375" style="2" hidden="1" customWidth="1"/>
    <col min="13" max="13" width="20.85546875" style="2" hidden="1" customWidth="1"/>
    <col min="14" max="15" width="17.140625" style="2" hidden="1" customWidth="1"/>
    <col min="16" max="16" width="17" style="2" hidden="1" customWidth="1"/>
    <col min="17" max="17" width="13.5703125" style="1" customWidth="1"/>
    <col min="18" max="16384" width="9.140625" style="1"/>
  </cols>
  <sheetData>
    <row r="1" spans="1:16" ht="15" customHeight="1" x14ac:dyDescent="0.2">
      <c r="A1" s="154" t="s">
        <v>206</v>
      </c>
      <c r="B1" s="154"/>
      <c r="C1" s="154"/>
      <c r="D1" s="155"/>
      <c r="E1" s="155"/>
      <c r="F1" s="155"/>
      <c r="G1" s="155"/>
      <c r="H1" s="155"/>
    </row>
    <row r="2" spans="1:16" ht="21" customHeight="1" x14ac:dyDescent="0.2">
      <c r="A2" s="155"/>
      <c r="B2" s="155"/>
      <c r="C2" s="155"/>
      <c r="D2" s="155"/>
      <c r="E2" s="155"/>
      <c r="F2" s="155"/>
      <c r="G2" s="155"/>
      <c r="H2" s="155"/>
      <c r="J2" s="1"/>
      <c r="K2" s="1"/>
      <c r="L2" s="1"/>
      <c r="M2" s="1"/>
      <c r="N2" s="1"/>
      <c r="O2" s="1"/>
      <c r="P2" s="1"/>
    </row>
    <row r="3" spans="1:16" ht="15" customHeight="1" x14ac:dyDescent="0.2">
      <c r="A3" s="155"/>
      <c r="B3" s="155"/>
      <c r="C3" s="155"/>
      <c r="D3" s="155"/>
      <c r="E3" s="155"/>
      <c r="F3" s="155"/>
      <c r="G3" s="155"/>
      <c r="H3" s="155"/>
      <c r="J3" s="1"/>
      <c r="K3" s="1"/>
      <c r="L3" s="1"/>
      <c r="M3" s="1"/>
      <c r="N3" s="1"/>
      <c r="O3" s="1"/>
      <c r="P3" s="1"/>
    </row>
    <row r="4" spans="1:16" ht="15" customHeight="1" x14ac:dyDescent="0.2">
      <c r="A4" s="155"/>
      <c r="B4" s="155"/>
      <c r="C4" s="155"/>
      <c r="D4" s="155"/>
      <c r="E4" s="155"/>
      <c r="F4" s="155"/>
      <c r="G4" s="155"/>
      <c r="H4" s="155"/>
      <c r="J4" s="1"/>
      <c r="K4" s="1"/>
      <c r="L4" s="1"/>
      <c r="M4" s="1"/>
      <c r="N4" s="1"/>
      <c r="O4" s="1"/>
      <c r="P4" s="1"/>
    </row>
    <row r="5" spans="1:16" ht="15.75" customHeight="1" x14ac:dyDescent="0.2">
      <c r="A5" s="155"/>
      <c r="B5" s="155"/>
      <c r="C5" s="155"/>
      <c r="D5" s="155"/>
      <c r="E5" s="155"/>
      <c r="F5" s="155"/>
      <c r="G5" s="155"/>
      <c r="H5" s="155"/>
      <c r="J5" s="1"/>
      <c r="K5" s="1"/>
      <c r="L5" s="1"/>
      <c r="M5" s="1"/>
      <c r="N5" s="1"/>
      <c r="O5" s="1"/>
      <c r="P5" s="1"/>
    </row>
    <row r="6" spans="1:16" ht="15.75" customHeight="1" x14ac:dyDescent="0.2">
      <c r="A6" s="146" t="s">
        <v>208</v>
      </c>
      <c r="B6" s="146"/>
      <c r="C6" s="146"/>
      <c r="D6" s="146"/>
      <c r="E6" s="146"/>
      <c r="F6" s="146"/>
      <c r="G6" s="146"/>
      <c r="H6" s="3"/>
    </row>
    <row r="7" spans="1:16" ht="15" customHeight="1" x14ac:dyDescent="0.2">
      <c r="A7" s="147"/>
      <c r="B7" s="147"/>
      <c r="C7" s="147"/>
      <c r="D7" s="147"/>
      <c r="E7" s="147"/>
      <c r="F7" s="147"/>
      <c r="G7" s="147"/>
      <c r="H7" s="3"/>
    </row>
    <row r="8" spans="1:16" ht="21" customHeight="1" x14ac:dyDescent="0.2">
      <c r="A8" s="148" t="s">
        <v>198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</row>
    <row r="9" spans="1:16" ht="51" customHeight="1" x14ac:dyDescent="0.2">
      <c r="A9" s="4" t="s">
        <v>0</v>
      </c>
      <c r="B9" s="5">
        <v>41639</v>
      </c>
      <c r="C9" s="5">
        <v>41274</v>
      </c>
      <c r="D9" s="5">
        <v>40908</v>
      </c>
      <c r="E9" s="5">
        <v>40543</v>
      </c>
      <c r="F9" s="5">
        <v>39721</v>
      </c>
      <c r="G9" s="5" t="s">
        <v>197</v>
      </c>
      <c r="H9" s="5">
        <v>39538</v>
      </c>
      <c r="I9" s="4" t="s">
        <v>1</v>
      </c>
      <c r="J9" s="6">
        <f>B9</f>
        <v>41639</v>
      </c>
      <c r="K9" s="6">
        <f>C9</f>
        <v>41274</v>
      </c>
      <c r="L9" s="6">
        <f>D9</f>
        <v>40908</v>
      </c>
      <c r="M9" s="6">
        <v>40543</v>
      </c>
      <c r="N9" s="6">
        <f>F9</f>
        <v>39721</v>
      </c>
      <c r="O9" s="6" t="str">
        <f>G9</f>
        <v>2008-06-31</v>
      </c>
      <c r="P9" s="6">
        <f>H9</f>
        <v>39538</v>
      </c>
    </row>
    <row r="10" spans="1:16" ht="33" customHeight="1" x14ac:dyDescent="0.2">
      <c r="A10" s="7" t="s">
        <v>2</v>
      </c>
      <c r="B10" s="8">
        <f>B11+B16+B25+B28+B43</f>
        <v>33447.419999999991</v>
      </c>
      <c r="C10" s="8">
        <f t="shared" ref="C10:H10" si="0">C11+C16+C25+C28+C43</f>
        <v>16736.63</v>
      </c>
      <c r="D10" s="8" t="e">
        <f t="shared" si="0"/>
        <v>#REF!</v>
      </c>
      <c r="E10" s="8">
        <f t="shared" si="0"/>
        <v>0</v>
      </c>
      <c r="F10" s="8">
        <f t="shared" si="0"/>
        <v>33260298.780000001</v>
      </c>
      <c r="G10" s="8">
        <f t="shared" si="0"/>
        <v>33158300.419999998</v>
      </c>
      <c r="H10" s="8">
        <f t="shared" si="0"/>
        <v>33132414.800000001</v>
      </c>
      <c r="I10" s="95" t="s">
        <v>3</v>
      </c>
      <c r="J10" s="9">
        <f>SUM(J11:J27)</f>
        <v>565566.93999999971</v>
      </c>
      <c r="K10" s="9">
        <f t="shared" ref="K10:P10" si="1">SUM(K11:K27)</f>
        <v>383754.2699999999</v>
      </c>
      <c r="L10" s="9" t="e">
        <f t="shared" si="1"/>
        <v>#REF!</v>
      </c>
      <c r="M10" s="9">
        <f t="shared" si="1"/>
        <v>278547.05</v>
      </c>
      <c r="N10" s="9">
        <f t="shared" si="1"/>
        <v>33262833.879999999</v>
      </c>
      <c r="O10" s="9">
        <f t="shared" si="1"/>
        <v>33288527.91</v>
      </c>
      <c r="P10" s="9">
        <f t="shared" si="1"/>
        <v>33275534.259999998</v>
      </c>
    </row>
    <row r="11" spans="1:16" ht="20.100000000000001" customHeight="1" x14ac:dyDescent="0.2">
      <c r="A11" s="10" t="s">
        <v>4</v>
      </c>
      <c r="B11" s="11">
        <f>SUM(B12:B15)</f>
        <v>0</v>
      </c>
      <c r="C11" s="11">
        <f t="shared" ref="C11:H11" si="2">SUM(C12:C15)</f>
        <v>0</v>
      </c>
      <c r="D11" s="11">
        <f t="shared" si="2"/>
        <v>0</v>
      </c>
      <c r="E11" s="11">
        <f t="shared" si="2"/>
        <v>0</v>
      </c>
      <c r="F11" s="11">
        <f t="shared" si="2"/>
        <v>325057.91000000003</v>
      </c>
      <c r="G11" s="11">
        <f t="shared" si="2"/>
        <v>344178.95</v>
      </c>
      <c r="H11" s="11">
        <f t="shared" si="2"/>
        <v>363299.99</v>
      </c>
      <c r="I11" s="149" t="s">
        <v>5</v>
      </c>
      <c r="J11" s="138">
        <v>1858.95</v>
      </c>
      <c r="K11" s="138">
        <v>1858.95</v>
      </c>
      <c r="L11" s="150" t="e">
        <f>#REF!</f>
        <v>#REF!</v>
      </c>
      <c r="M11" s="150">
        <v>1858.95</v>
      </c>
      <c r="N11" s="150">
        <v>33450000</v>
      </c>
      <c r="O11" s="150">
        <v>33450000</v>
      </c>
      <c r="P11" s="150">
        <v>33450000</v>
      </c>
    </row>
    <row r="12" spans="1:16" ht="30" customHeight="1" x14ac:dyDescent="0.2">
      <c r="A12" s="13" t="s">
        <v>6</v>
      </c>
      <c r="B12" s="14"/>
      <c r="C12" s="14"/>
      <c r="D12" s="14"/>
      <c r="E12" s="14"/>
      <c r="F12" s="14"/>
      <c r="G12" s="14"/>
      <c r="H12" s="14"/>
      <c r="I12" s="149"/>
      <c r="J12" s="139"/>
      <c r="K12" s="139"/>
      <c r="L12" s="150"/>
      <c r="M12" s="150"/>
      <c r="N12" s="150"/>
      <c r="O12" s="150"/>
      <c r="P12" s="150"/>
    </row>
    <row r="13" spans="1:16" ht="20.100000000000001" customHeight="1" x14ac:dyDescent="0.2">
      <c r="A13" s="13" t="s">
        <v>7</v>
      </c>
      <c r="B13" s="14"/>
      <c r="C13" s="14"/>
      <c r="D13" s="14"/>
      <c r="E13" s="14"/>
      <c r="F13" s="14">
        <f>382421.03-57363.12</f>
        <v>325057.91000000003</v>
      </c>
      <c r="G13" s="14">
        <v>344178.95</v>
      </c>
      <c r="H13" s="14">
        <v>363299.99</v>
      </c>
      <c r="I13" s="151" t="s">
        <v>8</v>
      </c>
      <c r="J13" s="138"/>
      <c r="K13" s="138"/>
      <c r="L13" s="150"/>
      <c r="M13" s="150"/>
      <c r="N13" s="150"/>
      <c r="O13" s="150"/>
      <c r="P13" s="150"/>
    </row>
    <row r="14" spans="1:16" ht="20.100000000000001" customHeight="1" x14ac:dyDescent="0.2">
      <c r="A14" s="13" t="s">
        <v>9</v>
      </c>
      <c r="B14" s="14">
        <f>690-690</f>
        <v>0</v>
      </c>
      <c r="C14" s="14">
        <f>690-690</f>
        <v>0</v>
      </c>
      <c r="D14" s="14">
        <f>2950-2950</f>
        <v>0</v>
      </c>
      <c r="E14" s="14">
        <f>2950-2950</f>
        <v>0</v>
      </c>
      <c r="F14" s="14">
        <f>2950-2950</f>
        <v>0</v>
      </c>
      <c r="G14" s="14"/>
      <c r="H14" s="14"/>
      <c r="I14" s="151"/>
      <c r="J14" s="139"/>
      <c r="K14" s="139"/>
      <c r="L14" s="150"/>
      <c r="M14" s="150"/>
      <c r="N14" s="150"/>
      <c r="O14" s="150"/>
      <c r="P14" s="150"/>
    </row>
    <row r="15" spans="1:16" ht="29.25" customHeight="1" x14ac:dyDescent="0.2">
      <c r="A15" s="13" t="s">
        <v>10</v>
      </c>
      <c r="B15" s="14"/>
      <c r="C15" s="14"/>
      <c r="D15" s="14"/>
      <c r="E15" s="14"/>
      <c r="F15" s="14"/>
      <c r="G15" s="14"/>
      <c r="H15" s="14"/>
      <c r="I15" s="149" t="s">
        <v>11</v>
      </c>
      <c r="J15" s="138"/>
      <c r="K15" s="138"/>
      <c r="L15" s="150"/>
      <c r="M15" s="150"/>
      <c r="N15" s="150"/>
      <c r="O15" s="150"/>
      <c r="P15" s="150"/>
    </row>
    <row r="16" spans="1:16" ht="20.100000000000001" customHeight="1" x14ac:dyDescent="0.2">
      <c r="A16" s="10" t="s">
        <v>12</v>
      </c>
      <c r="B16" s="11">
        <f>B17+B23+B24</f>
        <v>33447.419999999991</v>
      </c>
      <c r="C16" s="11">
        <f t="shared" ref="C16:H16" si="3">C17+C23+C24</f>
        <v>16736.63</v>
      </c>
      <c r="D16" s="11" t="e">
        <f t="shared" si="3"/>
        <v>#REF!</v>
      </c>
      <c r="E16" s="11">
        <f t="shared" si="3"/>
        <v>0</v>
      </c>
      <c r="F16" s="11">
        <f t="shared" si="3"/>
        <v>32933626.830000002</v>
      </c>
      <c r="G16" s="11">
        <f t="shared" si="3"/>
        <v>32812507.43</v>
      </c>
      <c r="H16" s="11">
        <f t="shared" si="3"/>
        <v>32767500.770000003</v>
      </c>
      <c r="I16" s="149"/>
      <c r="J16" s="139"/>
      <c r="K16" s="139"/>
      <c r="L16" s="150"/>
      <c r="M16" s="150"/>
      <c r="N16" s="150"/>
      <c r="O16" s="150"/>
      <c r="P16" s="150"/>
    </row>
    <row r="17" spans="1:16" ht="20.100000000000001" customHeight="1" x14ac:dyDescent="0.2">
      <c r="A17" s="13" t="s">
        <v>13</v>
      </c>
      <c r="B17" s="15">
        <f>SUM(B18:B22)</f>
        <v>33447.419999999991</v>
      </c>
      <c r="C17" s="15">
        <f t="shared" ref="C17:H17" si="4">SUM(C18:C22)</f>
        <v>16736.63</v>
      </c>
      <c r="D17" s="15" t="e">
        <f t="shared" si="4"/>
        <v>#REF!</v>
      </c>
      <c r="E17" s="15">
        <f t="shared" si="4"/>
        <v>0</v>
      </c>
      <c r="F17" s="15">
        <f t="shared" si="4"/>
        <v>32472229.370000001</v>
      </c>
      <c r="G17" s="15">
        <f t="shared" si="4"/>
        <v>32553578.859999999</v>
      </c>
      <c r="H17" s="15">
        <f t="shared" si="4"/>
        <v>32765750.770000003</v>
      </c>
      <c r="I17" s="149" t="s">
        <v>14</v>
      </c>
      <c r="J17" s="138"/>
      <c r="K17" s="138"/>
      <c r="L17" s="150"/>
      <c r="M17" s="150"/>
      <c r="N17" s="150"/>
      <c r="O17" s="150"/>
      <c r="P17" s="150"/>
    </row>
    <row r="18" spans="1:16" ht="29.25" customHeight="1" x14ac:dyDescent="0.2">
      <c r="A18" s="13" t="s">
        <v>15</v>
      </c>
      <c r="B18" s="14"/>
      <c r="C18" s="14"/>
      <c r="D18" s="14"/>
      <c r="E18" s="14"/>
      <c r="F18" s="14">
        <f>4459000-167212.53</f>
        <v>4291787.47</v>
      </c>
      <c r="G18" s="14">
        <v>4347524.9800000004</v>
      </c>
      <c r="H18" s="14">
        <v>4403262.49</v>
      </c>
      <c r="I18" s="149"/>
      <c r="J18" s="139"/>
      <c r="K18" s="139"/>
      <c r="L18" s="150"/>
      <c r="M18" s="150"/>
      <c r="N18" s="150"/>
      <c r="O18" s="150"/>
      <c r="P18" s="150"/>
    </row>
    <row r="19" spans="1:16" ht="29.25" customHeight="1" x14ac:dyDescent="0.2">
      <c r="A19" s="13" t="s">
        <v>16</v>
      </c>
      <c r="B19" s="14"/>
      <c r="C19" s="14"/>
      <c r="D19" s="14"/>
      <c r="E19" s="14"/>
      <c r="F19" s="14">
        <f>26327702.14+2007797.85-394398.09-30116.88</f>
        <v>27910985.020000003</v>
      </c>
      <c r="G19" s="14">
        <v>28007527.510000002</v>
      </c>
      <c r="H19" s="14">
        <v>28149070</v>
      </c>
      <c r="I19" s="149" t="s">
        <v>17</v>
      </c>
      <c r="J19" s="138"/>
      <c r="K19" s="138"/>
      <c r="L19" s="150"/>
      <c r="M19" s="150"/>
      <c r="N19" s="150"/>
      <c r="O19" s="150"/>
      <c r="P19" s="150"/>
    </row>
    <row r="20" spans="1:16" ht="20.100000000000001" customHeight="1" x14ac:dyDescent="0.2">
      <c r="A20" s="13" t="s">
        <v>18</v>
      </c>
      <c r="B20" s="14">
        <f>4939.97-4939.97</f>
        <v>0</v>
      </c>
      <c r="C20" s="14">
        <f>4939.97-4939.97</f>
        <v>0</v>
      </c>
      <c r="D20" s="14"/>
      <c r="E20" s="14"/>
      <c r="F20" s="14">
        <f>141472+111503.5+21794.05-4951.5-28184.64-2611.64</f>
        <v>239021.76999999996</v>
      </c>
      <c r="G20" s="14">
        <f>160739.17+3502.91</f>
        <v>164242.08000000002</v>
      </c>
      <c r="H20" s="14">
        <v>154358.25</v>
      </c>
      <c r="I20" s="149"/>
      <c r="J20" s="139"/>
      <c r="K20" s="139"/>
      <c r="L20" s="150"/>
      <c r="M20" s="150"/>
      <c r="N20" s="150"/>
      <c r="O20" s="150"/>
      <c r="P20" s="150"/>
    </row>
    <row r="21" spans="1:16" ht="30.75" customHeight="1" x14ac:dyDescent="0.2">
      <c r="A21" s="13" t="s">
        <v>19</v>
      </c>
      <c r="B21" s="14">
        <f>76473.18-43025.76</f>
        <v>33447.419999999991</v>
      </c>
      <c r="C21" s="14">
        <f>33473.18-16736.55</f>
        <v>16736.63</v>
      </c>
      <c r="D21" s="14" t="e">
        <f>#REF!</f>
        <v>#REF!</v>
      </c>
      <c r="E21" s="14"/>
      <c r="F21" s="14">
        <f>41484-11048.89</f>
        <v>30435.11</v>
      </c>
      <c r="G21" s="14">
        <v>34284.29</v>
      </c>
      <c r="H21" s="14">
        <v>31950.01</v>
      </c>
      <c r="I21" s="10" t="s">
        <v>20</v>
      </c>
      <c r="J21" s="12"/>
      <c r="K21" s="12"/>
      <c r="L21" s="12"/>
      <c r="M21" s="12"/>
      <c r="N21" s="12"/>
      <c r="O21" s="12"/>
      <c r="P21" s="12"/>
    </row>
    <row r="22" spans="1:16" ht="38.25" customHeight="1" x14ac:dyDescent="0.2">
      <c r="A22" s="13" t="s">
        <v>21</v>
      </c>
      <c r="B22" s="14">
        <f>2434.47-2434.47</f>
        <v>0</v>
      </c>
      <c r="C22" s="14">
        <f>2434.47-2434.47</f>
        <v>0</v>
      </c>
      <c r="D22" s="14"/>
      <c r="E22" s="14">
        <f>7945.91-7945.91</f>
        <v>0</v>
      </c>
      <c r="F22" s="14">
        <f>1755.09-1755.09</f>
        <v>0</v>
      </c>
      <c r="G22" s="14"/>
      <c r="H22" s="14">
        <v>27110.02</v>
      </c>
      <c r="I22" s="16" t="s">
        <v>22</v>
      </c>
      <c r="J22" s="12"/>
      <c r="K22" s="12"/>
      <c r="L22" s="12"/>
      <c r="M22" s="12"/>
      <c r="N22" s="12"/>
      <c r="O22" s="12"/>
      <c r="P22" s="12"/>
    </row>
    <row r="23" spans="1:16" ht="38.25" customHeight="1" x14ac:dyDescent="0.2">
      <c r="A23" s="13" t="s">
        <v>23</v>
      </c>
      <c r="B23" s="14"/>
      <c r="C23" s="14"/>
      <c r="D23" s="14"/>
      <c r="E23" s="14"/>
      <c r="F23" s="14">
        <v>461397.46</v>
      </c>
      <c r="G23" s="14">
        <v>258928.57</v>
      </c>
      <c r="H23" s="14">
        <v>1750</v>
      </c>
      <c r="I23" s="16" t="s">
        <v>24</v>
      </c>
      <c r="J23" s="12"/>
      <c r="K23" s="12"/>
      <c r="L23" s="12"/>
      <c r="M23" s="12"/>
      <c r="N23" s="12"/>
      <c r="O23" s="12"/>
      <c r="P23" s="12"/>
    </row>
    <row r="24" spans="1:16" ht="20.100000000000001" customHeight="1" x14ac:dyDescent="0.2">
      <c r="A24" s="13" t="s">
        <v>25</v>
      </c>
      <c r="B24" s="14"/>
      <c r="C24" s="14"/>
      <c r="D24" s="14"/>
      <c r="E24" s="14"/>
      <c r="F24" s="14"/>
      <c r="G24" s="14"/>
      <c r="H24" s="14"/>
      <c r="I24" s="10" t="s">
        <v>26</v>
      </c>
      <c r="J24" s="12">
        <v>283272.57</v>
      </c>
      <c r="K24" s="12">
        <f>233572.07+92816.53-L25</f>
        <v>283272.57</v>
      </c>
      <c r="L24" s="12" t="e">
        <f>#REF!</f>
        <v>#REF!</v>
      </c>
      <c r="M24" s="12">
        <v>233572.07</v>
      </c>
      <c r="N24" s="12">
        <v>-201465.57</v>
      </c>
      <c r="O24" s="12">
        <v>-201465.57</v>
      </c>
      <c r="P24" s="12">
        <v>-201465.57</v>
      </c>
    </row>
    <row r="25" spans="1:16" ht="20.100000000000001" customHeight="1" x14ac:dyDescent="0.2">
      <c r="A25" s="10" t="s">
        <v>27</v>
      </c>
      <c r="B25" s="11">
        <f>SUM(B26:B27)</f>
        <v>0</v>
      </c>
      <c r="C25" s="11">
        <f t="shared" ref="C25:H25" si="5">SUM(C26:C27)</f>
        <v>0</v>
      </c>
      <c r="D25" s="11">
        <f t="shared" si="5"/>
        <v>0</v>
      </c>
      <c r="E25" s="11">
        <f t="shared" si="5"/>
        <v>0</v>
      </c>
      <c r="F25" s="11">
        <f t="shared" si="5"/>
        <v>0</v>
      </c>
      <c r="G25" s="11">
        <f t="shared" si="5"/>
        <v>0</v>
      </c>
      <c r="H25" s="11">
        <f t="shared" si="5"/>
        <v>0</v>
      </c>
      <c r="I25" s="149" t="s">
        <v>28</v>
      </c>
      <c r="J25" s="138">
        <f>III_RACH_POR!D60</f>
        <v>280435.41999999969</v>
      </c>
      <c r="K25" s="138">
        <f>III_RACH_POR!E60</f>
        <v>98622.749999999869</v>
      </c>
      <c r="L25" s="150">
        <f>III_RACH_POR!F60</f>
        <v>43116.029999999984</v>
      </c>
      <c r="M25" s="150">
        <f>III_RACH_POR!F60</f>
        <v>43116.029999999984</v>
      </c>
      <c r="N25" s="150">
        <v>14299.45</v>
      </c>
      <c r="O25" s="150">
        <v>39993.480000000003</v>
      </c>
      <c r="P25" s="150">
        <v>26999.83</v>
      </c>
    </row>
    <row r="26" spans="1:16" ht="20.100000000000001" customHeight="1" x14ac:dyDescent="0.2">
      <c r="A26" s="13" t="s">
        <v>29</v>
      </c>
      <c r="B26" s="14"/>
      <c r="C26" s="14"/>
      <c r="D26" s="14"/>
      <c r="E26" s="14"/>
      <c r="F26" s="14"/>
      <c r="G26" s="14"/>
      <c r="H26" s="14"/>
      <c r="I26" s="149"/>
      <c r="J26" s="139"/>
      <c r="K26" s="139"/>
      <c r="L26" s="150"/>
      <c r="M26" s="150"/>
      <c r="N26" s="150"/>
      <c r="O26" s="150"/>
      <c r="P26" s="150"/>
    </row>
    <row r="27" spans="1:16" ht="20.100000000000001" customHeight="1" x14ac:dyDescent="0.2">
      <c r="A27" s="13" t="s">
        <v>30</v>
      </c>
      <c r="B27" s="14"/>
      <c r="C27" s="14"/>
      <c r="D27" s="14"/>
      <c r="E27" s="14"/>
      <c r="F27" s="14"/>
      <c r="G27" s="14"/>
      <c r="H27" s="14"/>
      <c r="I27" s="149" t="s">
        <v>31</v>
      </c>
      <c r="J27" s="138"/>
      <c r="K27" s="138"/>
      <c r="L27" s="150"/>
      <c r="M27" s="150"/>
      <c r="N27" s="150"/>
      <c r="O27" s="150"/>
      <c r="P27" s="150"/>
    </row>
    <row r="28" spans="1:16" ht="20.100000000000001" customHeight="1" x14ac:dyDescent="0.2">
      <c r="A28" s="7" t="s">
        <v>32</v>
      </c>
      <c r="B28" s="11">
        <f>B29+B30+B31+B42</f>
        <v>0</v>
      </c>
      <c r="C28" s="11">
        <f t="shared" ref="C28:H28" si="6">C29+C30+C31+C42</f>
        <v>0</v>
      </c>
      <c r="D28" s="11">
        <f t="shared" si="6"/>
        <v>0</v>
      </c>
      <c r="E28" s="11">
        <f t="shared" si="6"/>
        <v>0</v>
      </c>
      <c r="F28" s="11">
        <f t="shared" si="6"/>
        <v>0</v>
      </c>
      <c r="G28" s="11">
        <f t="shared" si="6"/>
        <v>0</v>
      </c>
      <c r="H28" s="11">
        <f t="shared" si="6"/>
        <v>0</v>
      </c>
      <c r="I28" s="149"/>
      <c r="J28" s="139"/>
      <c r="K28" s="139"/>
      <c r="L28" s="150"/>
      <c r="M28" s="150"/>
      <c r="N28" s="150"/>
      <c r="O28" s="150"/>
      <c r="P28" s="150"/>
    </row>
    <row r="29" spans="1:16" ht="20.100000000000001" customHeight="1" x14ac:dyDescent="0.2">
      <c r="A29" s="13" t="s">
        <v>33</v>
      </c>
      <c r="B29" s="14"/>
      <c r="C29" s="14"/>
      <c r="D29" s="14"/>
      <c r="E29" s="14"/>
      <c r="F29" s="14"/>
      <c r="G29" s="14"/>
      <c r="H29" s="14"/>
      <c r="I29" s="152" t="s">
        <v>34</v>
      </c>
      <c r="J29" s="140">
        <f>J31+J42+J51+J77</f>
        <v>33030.22</v>
      </c>
      <c r="K29" s="140">
        <f t="shared" ref="K29:P29" si="7">K31+K42+K51+K77</f>
        <v>38766.070000000007</v>
      </c>
      <c r="L29" s="153" t="e">
        <f t="shared" si="7"/>
        <v>#REF!</v>
      </c>
      <c r="M29" s="153">
        <f t="shared" si="7"/>
        <v>45927.19</v>
      </c>
      <c r="N29" s="153">
        <f t="shared" si="7"/>
        <v>697961.47000000009</v>
      </c>
      <c r="O29" s="153">
        <f t="shared" si="7"/>
        <v>995299.6100000001</v>
      </c>
      <c r="P29" s="153">
        <f t="shared" si="7"/>
        <v>680742.03</v>
      </c>
    </row>
    <row r="30" spans="1:16" ht="20.100000000000001" customHeight="1" x14ac:dyDescent="0.2">
      <c r="A30" s="13" t="s">
        <v>35</v>
      </c>
      <c r="B30" s="14"/>
      <c r="C30" s="14"/>
      <c r="D30" s="14"/>
      <c r="E30" s="14"/>
      <c r="F30" s="14"/>
      <c r="G30" s="14"/>
      <c r="H30" s="14"/>
      <c r="I30" s="152"/>
      <c r="J30" s="141"/>
      <c r="K30" s="141"/>
      <c r="L30" s="153"/>
      <c r="M30" s="153"/>
      <c r="N30" s="153"/>
      <c r="O30" s="153"/>
      <c r="P30" s="153"/>
    </row>
    <row r="31" spans="1:16" ht="20.100000000000001" customHeight="1" x14ac:dyDescent="0.2">
      <c r="A31" s="13" t="s">
        <v>36</v>
      </c>
      <c r="B31" s="15">
        <f>B32+B37</f>
        <v>0</v>
      </c>
      <c r="C31" s="15">
        <f t="shared" ref="C31:H31" si="8">C32+C37</f>
        <v>0</v>
      </c>
      <c r="D31" s="15">
        <f t="shared" si="8"/>
        <v>0</v>
      </c>
      <c r="E31" s="15">
        <f t="shared" si="8"/>
        <v>0</v>
      </c>
      <c r="F31" s="15">
        <f t="shared" si="8"/>
        <v>0</v>
      </c>
      <c r="G31" s="15">
        <f t="shared" si="8"/>
        <v>0</v>
      </c>
      <c r="H31" s="15">
        <f t="shared" si="8"/>
        <v>0</v>
      </c>
      <c r="I31" s="149" t="s">
        <v>37</v>
      </c>
      <c r="J31" s="134">
        <f>J33+J35+J39</f>
        <v>0</v>
      </c>
      <c r="K31" s="134">
        <f t="shared" ref="K31:P31" si="9">K33+K35+K39</f>
        <v>0</v>
      </c>
      <c r="L31" s="137">
        <f t="shared" si="9"/>
        <v>0</v>
      </c>
      <c r="M31" s="137">
        <f t="shared" si="9"/>
        <v>0</v>
      </c>
      <c r="N31" s="137">
        <f t="shared" si="9"/>
        <v>53039.9</v>
      </c>
      <c r="O31" s="137">
        <f t="shared" si="9"/>
        <v>52710.81</v>
      </c>
      <c r="P31" s="137">
        <f t="shared" si="9"/>
        <v>52710.81</v>
      </c>
    </row>
    <row r="32" spans="1:16" ht="20.100000000000001" customHeight="1" x14ac:dyDescent="0.2">
      <c r="A32" s="18" t="s">
        <v>38</v>
      </c>
      <c r="B32" s="15">
        <f>SUM(B33:B36)</f>
        <v>0</v>
      </c>
      <c r="C32" s="15">
        <f t="shared" ref="C32:H32" si="10">SUM(C33:C36)</f>
        <v>0</v>
      </c>
      <c r="D32" s="15">
        <f t="shared" si="10"/>
        <v>0</v>
      </c>
      <c r="E32" s="15">
        <f t="shared" si="10"/>
        <v>0</v>
      </c>
      <c r="F32" s="15">
        <f t="shared" si="10"/>
        <v>0</v>
      </c>
      <c r="G32" s="15">
        <f t="shared" si="10"/>
        <v>0</v>
      </c>
      <c r="H32" s="15">
        <f t="shared" si="10"/>
        <v>0</v>
      </c>
      <c r="I32" s="149"/>
      <c r="J32" s="135"/>
      <c r="K32" s="135"/>
      <c r="L32" s="137"/>
      <c r="M32" s="137"/>
      <c r="N32" s="137"/>
      <c r="O32" s="137"/>
      <c r="P32" s="137"/>
    </row>
    <row r="33" spans="1:17" ht="20.100000000000001" customHeight="1" x14ac:dyDescent="0.2">
      <c r="A33" s="18" t="s">
        <v>39</v>
      </c>
      <c r="B33" s="14"/>
      <c r="C33" s="14"/>
      <c r="D33" s="14"/>
      <c r="E33" s="14"/>
      <c r="F33" s="14"/>
      <c r="G33" s="14"/>
      <c r="H33" s="14"/>
      <c r="I33" s="145" t="s">
        <v>40</v>
      </c>
      <c r="J33" s="132"/>
      <c r="K33" s="132"/>
      <c r="L33" s="142"/>
      <c r="M33" s="142"/>
      <c r="N33" s="142">
        <v>4057.17</v>
      </c>
      <c r="O33" s="142">
        <v>4057.17</v>
      </c>
      <c r="P33" s="142">
        <v>4057.17</v>
      </c>
    </row>
    <row r="34" spans="1:17" ht="20.100000000000001" customHeight="1" x14ac:dyDescent="0.2">
      <c r="A34" s="13" t="s">
        <v>41</v>
      </c>
      <c r="B34" s="14"/>
      <c r="C34" s="14"/>
      <c r="D34" s="14"/>
      <c r="E34" s="14"/>
      <c r="F34" s="14"/>
      <c r="G34" s="14"/>
      <c r="H34" s="14"/>
      <c r="I34" s="145"/>
      <c r="J34" s="133"/>
      <c r="K34" s="133"/>
      <c r="L34" s="142"/>
      <c r="M34" s="142"/>
      <c r="N34" s="142"/>
      <c r="O34" s="142"/>
      <c r="P34" s="142"/>
    </row>
    <row r="35" spans="1:17" ht="20.100000000000001" customHeight="1" x14ac:dyDescent="0.2">
      <c r="A35" s="13" t="s">
        <v>42</v>
      </c>
      <c r="B35" s="14"/>
      <c r="C35" s="14"/>
      <c r="D35" s="14"/>
      <c r="E35" s="14"/>
      <c r="F35" s="14"/>
      <c r="G35" s="14"/>
      <c r="H35" s="14"/>
      <c r="I35" s="145" t="s">
        <v>43</v>
      </c>
      <c r="J35" s="130">
        <f>SUM(J37:J38)</f>
        <v>0</v>
      </c>
      <c r="K35" s="130">
        <f t="shared" ref="K35:P35" si="11">SUM(K37:K38)</f>
        <v>0</v>
      </c>
      <c r="L35" s="136">
        <f t="shared" si="11"/>
        <v>0</v>
      </c>
      <c r="M35" s="136">
        <f t="shared" si="11"/>
        <v>0</v>
      </c>
      <c r="N35" s="136">
        <f t="shared" si="11"/>
        <v>0</v>
      </c>
      <c r="O35" s="136">
        <f t="shared" si="11"/>
        <v>0</v>
      </c>
      <c r="P35" s="136">
        <f t="shared" si="11"/>
        <v>0</v>
      </c>
    </row>
    <row r="36" spans="1:17" ht="20.100000000000001" customHeight="1" x14ac:dyDescent="0.2">
      <c r="A36" s="13" t="s">
        <v>44</v>
      </c>
      <c r="B36" s="14"/>
      <c r="C36" s="14"/>
      <c r="D36" s="14"/>
      <c r="E36" s="14"/>
      <c r="F36" s="14"/>
      <c r="G36" s="14"/>
      <c r="H36" s="14"/>
      <c r="I36" s="145"/>
      <c r="J36" s="131"/>
      <c r="K36" s="131"/>
      <c r="L36" s="136"/>
      <c r="M36" s="136"/>
      <c r="N36" s="136"/>
      <c r="O36" s="136"/>
      <c r="P36" s="136"/>
    </row>
    <row r="37" spans="1:17" ht="20.100000000000001" customHeight="1" x14ac:dyDescent="0.2">
      <c r="A37" s="18" t="s">
        <v>45</v>
      </c>
      <c r="B37" s="15">
        <f>SUM(B38:B41)</f>
        <v>0</v>
      </c>
      <c r="C37" s="15">
        <f t="shared" ref="C37:H37" si="12">SUM(C38:C41)</f>
        <v>0</v>
      </c>
      <c r="D37" s="15">
        <f t="shared" si="12"/>
        <v>0</v>
      </c>
      <c r="E37" s="15">
        <f t="shared" si="12"/>
        <v>0</v>
      </c>
      <c r="F37" s="15">
        <f t="shared" si="12"/>
        <v>0</v>
      </c>
      <c r="G37" s="15">
        <f t="shared" si="12"/>
        <v>0</v>
      </c>
      <c r="H37" s="15">
        <f t="shared" si="12"/>
        <v>0</v>
      </c>
      <c r="I37" s="13" t="s">
        <v>46</v>
      </c>
      <c r="J37" s="19"/>
      <c r="K37" s="19"/>
      <c r="L37" s="19"/>
      <c r="M37" s="19"/>
      <c r="N37" s="19"/>
      <c r="O37" s="19"/>
      <c r="P37" s="19"/>
    </row>
    <row r="38" spans="1:17" ht="20.100000000000001" customHeight="1" x14ac:dyDescent="0.2">
      <c r="A38" s="18" t="s">
        <v>39</v>
      </c>
      <c r="B38" s="14"/>
      <c r="C38" s="14"/>
      <c r="D38" s="14"/>
      <c r="E38" s="14"/>
      <c r="F38" s="14"/>
      <c r="G38" s="14"/>
      <c r="H38" s="14"/>
      <c r="I38" s="13" t="s">
        <v>47</v>
      </c>
      <c r="J38" s="19"/>
      <c r="K38" s="19"/>
      <c r="L38" s="19"/>
      <c r="M38" s="19"/>
      <c r="N38" s="19"/>
      <c r="O38" s="19"/>
      <c r="P38" s="19"/>
    </row>
    <row r="39" spans="1:17" ht="20.100000000000001" customHeight="1" x14ac:dyDescent="0.2">
      <c r="A39" s="18" t="s">
        <v>41</v>
      </c>
      <c r="B39" s="14"/>
      <c r="C39" s="14"/>
      <c r="D39" s="14"/>
      <c r="E39" s="14"/>
      <c r="F39" s="14"/>
      <c r="G39" s="14"/>
      <c r="H39" s="14"/>
      <c r="I39" s="13" t="s">
        <v>48</v>
      </c>
      <c r="J39" s="20">
        <f>SUM(J40:J41)</f>
        <v>0</v>
      </c>
      <c r="K39" s="20">
        <f t="shared" ref="K39:P39" si="13">SUM(K40:K41)</f>
        <v>0</v>
      </c>
      <c r="L39" s="20">
        <f t="shared" si="13"/>
        <v>0</v>
      </c>
      <c r="M39" s="20">
        <f t="shared" si="13"/>
        <v>0</v>
      </c>
      <c r="N39" s="20">
        <f t="shared" si="13"/>
        <v>48982.73</v>
      </c>
      <c r="O39" s="20">
        <f t="shared" si="13"/>
        <v>48653.64</v>
      </c>
      <c r="P39" s="20">
        <f t="shared" si="13"/>
        <v>48653.64</v>
      </c>
    </row>
    <row r="40" spans="1:17" ht="20.100000000000001" customHeight="1" x14ac:dyDescent="0.2">
      <c r="A40" s="13" t="s">
        <v>42</v>
      </c>
      <c r="B40" s="14"/>
      <c r="C40" s="14"/>
      <c r="D40" s="14"/>
      <c r="E40" s="14"/>
      <c r="F40" s="14"/>
      <c r="G40" s="14"/>
      <c r="H40" s="14"/>
      <c r="I40" s="13" t="s">
        <v>49</v>
      </c>
      <c r="J40" s="19"/>
      <c r="K40" s="19"/>
      <c r="L40" s="19"/>
      <c r="M40" s="19"/>
      <c r="N40" s="19"/>
      <c r="O40" s="19"/>
      <c r="P40" s="19"/>
    </row>
    <row r="41" spans="1:17" ht="20.100000000000001" customHeight="1" x14ac:dyDescent="0.2">
      <c r="A41" s="13" t="s">
        <v>44</v>
      </c>
      <c r="B41" s="14"/>
      <c r="C41" s="14"/>
      <c r="D41" s="14"/>
      <c r="E41" s="14"/>
      <c r="F41" s="14"/>
      <c r="G41" s="14"/>
      <c r="H41" s="14"/>
      <c r="I41" s="13" t="s">
        <v>50</v>
      </c>
      <c r="J41" s="19"/>
      <c r="K41" s="19"/>
      <c r="L41" s="19"/>
      <c r="M41" s="19"/>
      <c r="N41" s="19">
        <f>48680.69+302.04</f>
        <v>48982.73</v>
      </c>
      <c r="O41" s="19">
        <v>48653.64</v>
      </c>
      <c r="P41" s="19">
        <v>48653.64</v>
      </c>
    </row>
    <row r="42" spans="1:17" ht="20.100000000000001" customHeight="1" x14ac:dyDescent="0.2">
      <c r="A42" s="13" t="s">
        <v>51</v>
      </c>
      <c r="B42" s="14"/>
      <c r="C42" s="14"/>
      <c r="D42" s="14"/>
      <c r="E42" s="14"/>
      <c r="F42" s="14"/>
      <c r="G42" s="14"/>
      <c r="H42" s="14"/>
      <c r="I42" s="149" t="s">
        <v>52</v>
      </c>
      <c r="J42" s="134">
        <f>SUM(J44:J45)</f>
        <v>0</v>
      </c>
      <c r="K42" s="134">
        <f t="shared" ref="K42:P42" si="14">SUM(K44:K45)</f>
        <v>0</v>
      </c>
      <c r="L42" s="137">
        <f t="shared" si="14"/>
        <v>0</v>
      </c>
      <c r="M42" s="137">
        <f t="shared" si="14"/>
        <v>0</v>
      </c>
      <c r="N42" s="137">
        <f t="shared" si="14"/>
        <v>0</v>
      </c>
      <c r="O42" s="137">
        <f t="shared" si="14"/>
        <v>0</v>
      </c>
      <c r="P42" s="137">
        <f t="shared" si="14"/>
        <v>0</v>
      </c>
    </row>
    <row r="43" spans="1:17" ht="27" customHeight="1" x14ac:dyDescent="0.2">
      <c r="A43" s="10" t="s">
        <v>53</v>
      </c>
      <c r="B43" s="11">
        <f>SUM(B44:B45)</f>
        <v>0</v>
      </c>
      <c r="C43" s="11">
        <f t="shared" ref="C43:H43" si="15">SUM(C44:C45)</f>
        <v>0</v>
      </c>
      <c r="D43" s="11">
        <f t="shared" si="15"/>
        <v>0</v>
      </c>
      <c r="E43" s="11">
        <f t="shared" si="15"/>
        <v>0</v>
      </c>
      <c r="F43" s="11">
        <f t="shared" si="15"/>
        <v>1614.04</v>
      </c>
      <c r="G43" s="11">
        <f t="shared" si="15"/>
        <v>1614.04</v>
      </c>
      <c r="H43" s="11">
        <f t="shared" si="15"/>
        <v>1614.04</v>
      </c>
      <c r="I43" s="149"/>
      <c r="J43" s="135"/>
      <c r="K43" s="135"/>
      <c r="L43" s="137"/>
      <c r="M43" s="137"/>
      <c r="N43" s="137"/>
      <c r="O43" s="137"/>
      <c r="P43" s="137"/>
    </row>
    <row r="44" spans="1:17" ht="30" customHeight="1" x14ac:dyDescent="0.2">
      <c r="A44" s="13" t="s">
        <v>54</v>
      </c>
      <c r="B44" s="14"/>
      <c r="C44" s="14"/>
      <c r="D44" s="14"/>
      <c r="E44" s="14"/>
      <c r="F44" s="14">
        <v>1614.04</v>
      </c>
      <c r="G44" s="14">
        <v>1614.04</v>
      </c>
      <c r="H44" s="14">
        <v>1614.04</v>
      </c>
      <c r="I44" s="13" t="s">
        <v>55</v>
      </c>
      <c r="J44" s="19"/>
      <c r="K44" s="19"/>
      <c r="L44" s="19"/>
      <c r="M44" s="19"/>
      <c r="N44" s="19"/>
      <c r="O44" s="19"/>
      <c r="P44" s="19"/>
    </row>
    <row r="45" spans="1:17" ht="20.100000000000001" customHeight="1" x14ac:dyDescent="0.2">
      <c r="A45" s="13" t="s">
        <v>56</v>
      </c>
      <c r="B45" s="14"/>
      <c r="C45" s="14"/>
      <c r="D45" s="14"/>
      <c r="E45" s="14"/>
      <c r="F45" s="14"/>
      <c r="G45" s="14"/>
      <c r="H45" s="14"/>
      <c r="I45" s="13" t="s">
        <v>57</v>
      </c>
      <c r="J45" s="20">
        <f>SUM(J46:J50)</f>
        <v>0</v>
      </c>
      <c r="K45" s="20">
        <f t="shared" ref="K45:P45" si="16">SUM(K46:K50)</f>
        <v>0</v>
      </c>
      <c r="L45" s="20">
        <f t="shared" si="16"/>
        <v>0</v>
      </c>
      <c r="M45" s="20">
        <f t="shared" si="16"/>
        <v>0</v>
      </c>
      <c r="N45" s="20">
        <f t="shared" si="16"/>
        <v>0</v>
      </c>
      <c r="O45" s="20">
        <f t="shared" si="16"/>
        <v>0</v>
      </c>
      <c r="P45" s="20">
        <f t="shared" si="16"/>
        <v>0</v>
      </c>
    </row>
    <row r="46" spans="1:17" ht="20.100000000000001" customHeight="1" x14ac:dyDescent="0.2">
      <c r="A46" s="7" t="s">
        <v>58</v>
      </c>
      <c r="B46" s="8">
        <f>B47+B53+B66+B83</f>
        <v>565149.74</v>
      </c>
      <c r="C46" s="8">
        <f t="shared" ref="C46:H46" si="17">C47+C53+C66+C83</f>
        <v>405783.71</v>
      </c>
      <c r="D46" s="8" t="e">
        <f t="shared" si="17"/>
        <v>#REF!</v>
      </c>
      <c r="E46" s="8">
        <f t="shared" si="17"/>
        <v>331058.71000000002</v>
      </c>
      <c r="F46" s="8">
        <f t="shared" si="17"/>
        <v>700496.57</v>
      </c>
      <c r="G46" s="8">
        <f t="shared" si="17"/>
        <v>1125527.1000000001</v>
      </c>
      <c r="H46" s="8">
        <f t="shared" si="17"/>
        <v>828370.49000000011</v>
      </c>
      <c r="I46" s="13" t="s">
        <v>59</v>
      </c>
      <c r="J46" s="19"/>
      <c r="K46" s="19"/>
      <c r="L46" s="19"/>
      <c r="M46" s="19"/>
      <c r="N46" s="19"/>
      <c r="O46" s="19"/>
      <c r="P46" s="19"/>
      <c r="Q46" s="21">
        <f>+P46-O46</f>
        <v>0</v>
      </c>
    </row>
    <row r="47" spans="1:17" ht="20.100000000000001" customHeight="1" x14ac:dyDescent="0.2">
      <c r="A47" s="10" t="s">
        <v>60</v>
      </c>
      <c r="B47" s="11">
        <f>SUM(B48:B52)</f>
        <v>134879.04000000001</v>
      </c>
      <c r="C47" s="11">
        <f t="shared" ref="C47:H47" si="18">SUM(C48:C52)</f>
        <v>91536.07</v>
      </c>
      <c r="D47" s="11" t="e">
        <f t="shared" si="18"/>
        <v>#REF!</v>
      </c>
      <c r="E47" s="11">
        <f t="shared" si="18"/>
        <v>21590.95</v>
      </c>
      <c r="F47" s="11">
        <f t="shared" si="18"/>
        <v>10494.15</v>
      </c>
      <c r="G47" s="11">
        <f t="shared" si="18"/>
        <v>11460.66</v>
      </c>
      <c r="H47" s="11">
        <f t="shared" si="18"/>
        <v>21265.93</v>
      </c>
      <c r="I47" s="145" t="s">
        <v>61</v>
      </c>
      <c r="J47" s="132"/>
      <c r="K47" s="132"/>
      <c r="L47" s="142"/>
      <c r="M47" s="142"/>
      <c r="N47" s="142"/>
      <c r="O47" s="142"/>
      <c r="P47" s="142"/>
    </row>
    <row r="48" spans="1:17" ht="20.100000000000001" customHeight="1" x14ac:dyDescent="0.2">
      <c r="A48" s="13" t="s">
        <v>62</v>
      </c>
      <c r="B48" s="14"/>
      <c r="C48" s="14"/>
      <c r="D48" s="14"/>
      <c r="E48" s="14"/>
      <c r="F48" s="14"/>
      <c r="G48" s="14"/>
      <c r="H48" s="14"/>
      <c r="I48" s="145"/>
      <c r="J48" s="133"/>
      <c r="K48" s="133"/>
      <c r="L48" s="142"/>
      <c r="M48" s="142"/>
      <c r="N48" s="142"/>
      <c r="O48" s="142"/>
      <c r="P48" s="142"/>
    </row>
    <row r="49" spans="1:17" ht="20.100000000000001" customHeight="1" x14ac:dyDescent="0.2">
      <c r="A49" s="13" t="s">
        <v>63</v>
      </c>
      <c r="B49" s="14"/>
      <c r="C49" s="14"/>
      <c r="D49" s="14"/>
      <c r="E49" s="14"/>
      <c r="F49" s="14"/>
      <c r="G49" s="14"/>
      <c r="H49" s="14"/>
      <c r="I49" s="13" t="s">
        <v>64</v>
      </c>
      <c r="J49" s="19"/>
      <c r="K49" s="19"/>
      <c r="L49" s="19"/>
      <c r="M49" s="19"/>
      <c r="N49" s="19"/>
      <c r="O49" s="19"/>
      <c r="P49" s="19"/>
    </row>
    <row r="50" spans="1:17" ht="20.100000000000001" customHeight="1" x14ac:dyDescent="0.2">
      <c r="A50" s="13" t="s">
        <v>65</v>
      </c>
      <c r="B50" s="14"/>
      <c r="C50" s="14"/>
      <c r="D50" s="14"/>
      <c r="E50" s="14"/>
      <c r="F50" s="14"/>
      <c r="G50" s="14"/>
      <c r="H50" s="14"/>
      <c r="I50" s="13" t="s">
        <v>66</v>
      </c>
      <c r="J50" s="19"/>
      <c r="K50" s="19"/>
      <c r="L50" s="19"/>
      <c r="M50" s="19"/>
      <c r="N50" s="19"/>
      <c r="O50" s="19"/>
      <c r="P50" s="19"/>
    </row>
    <row r="51" spans="1:17" ht="20.100000000000001" customHeight="1" x14ac:dyDescent="0.2">
      <c r="A51" s="13" t="s">
        <v>67</v>
      </c>
      <c r="B51" s="14">
        <v>134879.04000000001</v>
      </c>
      <c r="C51" s="14">
        <v>91536.07</v>
      </c>
      <c r="D51" s="14" t="e">
        <f>#REF!</f>
        <v>#REF!</v>
      </c>
      <c r="E51" s="14">
        <v>21590.95</v>
      </c>
      <c r="F51" s="14">
        <v>10494.15</v>
      </c>
      <c r="G51" s="14">
        <v>11460.66</v>
      </c>
      <c r="H51" s="14">
        <v>21265.93</v>
      </c>
      <c r="I51" s="149" t="s">
        <v>68</v>
      </c>
      <c r="J51" s="134">
        <f>J53+J59+J74</f>
        <v>8456.07</v>
      </c>
      <c r="K51" s="134">
        <f t="shared" ref="K51:P51" si="19">K53+K59+K74</f>
        <v>12672.000000000004</v>
      </c>
      <c r="L51" s="137" t="e">
        <f t="shared" si="19"/>
        <v>#REF!</v>
      </c>
      <c r="M51" s="137">
        <f t="shared" si="19"/>
        <v>34319.880000000005</v>
      </c>
      <c r="N51" s="137">
        <f t="shared" si="19"/>
        <v>644921.57000000007</v>
      </c>
      <c r="O51" s="137">
        <f t="shared" si="19"/>
        <v>942588.8</v>
      </c>
      <c r="P51" s="137">
        <f t="shared" si="19"/>
        <v>628031.22000000009</v>
      </c>
      <c r="Q51" s="21"/>
    </row>
    <row r="52" spans="1:17" ht="20.100000000000001" customHeight="1" x14ac:dyDescent="0.2">
      <c r="A52" s="13" t="s">
        <v>69</v>
      </c>
      <c r="B52" s="14"/>
      <c r="C52" s="14"/>
      <c r="D52" s="14"/>
      <c r="E52" s="14"/>
      <c r="F52" s="14"/>
      <c r="G52" s="14"/>
      <c r="H52" s="14"/>
      <c r="I52" s="149"/>
      <c r="J52" s="135"/>
      <c r="K52" s="135"/>
      <c r="L52" s="137"/>
      <c r="M52" s="137"/>
      <c r="N52" s="137"/>
      <c r="O52" s="137"/>
      <c r="P52" s="137"/>
    </row>
    <row r="53" spans="1:17" ht="20.100000000000001" customHeight="1" x14ac:dyDescent="0.2">
      <c r="A53" s="10" t="s">
        <v>70</v>
      </c>
      <c r="B53" s="8">
        <f>B54+B59</f>
        <v>117471.44999999998</v>
      </c>
      <c r="C53" s="8">
        <f t="shared" ref="C53:H53" si="20">C54+C59</f>
        <v>149623.61000000002</v>
      </c>
      <c r="D53" s="8" t="e">
        <f t="shared" si="20"/>
        <v>#REF!</v>
      </c>
      <c r="E53" s="8">
        <f t="shared" si="20"/>
        <v>161099.29</v>
      </c>
      <c r="F53" s="8">
        <f t="shared" si="20"/>
        <v>617446.52999999991</v>
      </c>
      <c r="G53" s="8">
        <f t="shared" si="20"/>
        <v>1005819.72</v>
      </c>
      <c r="H53" s="8">
        <f t="shared" si="20"/>
        <v>778554.02</v>
      </c>
      <c r="I53" s="13" t="s">
        <v>55</v>
      </c>
      <c r="J53" s="20">
        <f>J54+J58</f>
        <v>0</v>
      </c>
      <c r="K53" s="20">
        <f t="shared" ref="K53:P53" si="21">K54+K58</f>
        <v>0</v>
      </c>
      <c r="L53" s="20">
        <f t="shared" si="21"/>
        <v>0</v>
      </c>
      <c r="M53" s="20">
        <f t="shared" si="21"/>
        <v>0</v>
      </c>
      <c r="N53" s="20">
        <f t="shared" si="21"/>
        <v>256703.21</v>
      </c>
      <c r="O53" s="20">
        <f t="shared" si="21"/>
        <v>571959.99</v>
      </c>
      <c r="P53" s="20">
        <f t="shared" si="21"/>
        <v>212808.51</v>
      </c>
      <c r="Q53" s="21">
        <f>-Q60</f>
        <v>0</v>
      </c>
    </row>
    <row r="54" spans="1:17" ht="25.5" customHeight="1" x14ac:dyDescent="0.2">
      <c r="A54" s="13" t="s">
        <v>71</v>
      </c>
      <c r="B54" s="15">
        <f>B55+B58</f>
        <v>115938.44999999998</v>
      </c>
      <c r="C54" s="15">
        <f t="shared" ref="C54:H54" si="22">C55+C58</f>
        <v>4968.6000000000004</v>
      </c>
      <c r="D54" s="15">
        <f t="shared" si="22"/>
        <v>0</v>
      </c>
      <c r="E54" s="15">
        <f t="shared" si="22"/>
        <v>0</v>
      </c>
      <c r="F54" s="15">
        <f t="shared" si="22"/>
        <v>601079.56999999995</v>
      </c>
      <c r="G54" s="15">
        <f t="shared" si="22"/>
        <v>984610.5</v>
      </c>
      <c r="H54" s="15">
        <f t="shared" si="22"/>
        <v>748277.62</v>
      </c>
      <c r="I54" s="145" t="s">
        <v>72</v>
      </c>
      <c r="J54" s="130">
        <f>SUM(J56:J57)</f>
        <v>0</v>
      </c>
      <c r="K54" s="130">
        <f t="shared" ref="K54:P54" si="23">SUM(K56:K57)</f>
        <v>0</v>
      </c>
      <c r="L54" s="136">
        <f t="shared" si="23"/>
        <v>0</v>
      </c>
      <c r="M54" s="136">
        <f t="shared" si="23"/>
        <v>0</v>
      </c>
      <c r="N54" s="136">
        <f t="shared" si="23"/>
        <v>256703.21</v>
      </c>
      <c r="O54" s="136">
        <f t="shared" si="23"/>
        <v>571959.99</v>
      </c>
      <c r="P54" s="136">
        <f t="shared" si="23"/>
        <v>212808.51</v>
      </c>
      <c r="Q54" s="21">
        <f>-Q46</f>
        <v>0</v>
      </c>
    </row>
    <row r="55" spans="1:17" ht="27" customHeight="1" x14ac:dyDescent="0.2">
      <c r="A55" s="13" t="s">
        <v>73</v>
      </c>
      <c r="B55" s="94">
        <f>SUM(B56:B57)</f>
        <v>115938.44999999998</v>
      </c>
      <c r="C55" s="94">
        <f t="shared" ref="C55:H55" si="24">SUM(C56:C57)</f>
        <v>0</v>
      </c>
      <c r="D55" s="94">
        <f t="shared" si="24"/>
        <v>0</v>
      </c>
      <c r="E55" s="94">
        <f t="shared" si="24"/>
        <v>0</v>
      </c>
      <c r="F55" s="15">
        <f t="shared" si="24"/>
        <v>601079.56999999995</v>
      </c>
      <c r="G55" s="15">
        <f t="shared" si="24"/>
        <v>984610.5</v>
      </c>
      <c r="H55" s="15">
        <f t="shared" si="24"/>
        <v>722498.86</v>
      </c>
      <c r="I55" s="145"/>
      <c r="J55" s="131"/>
      <c r="K55" s="131"/>
      <c r="L55" s="136"/>
      <c r="M55" s="136"/>
      <c r="N55" s="136"/>
      <c r="O55" s="136"/>
      <c r="P55" s="136"/>
    </row>
    <row r="56" spans="1:17" ht="20.100000000000001" customHeight="1" x14ac:dyDescent="0.2">
      <c r="A56" s="13" t="s">
        <v>74</v>
      </c>
      <c r="B56" s="14">
        <f>142026.8+4425.25-30513.6</f>
        <v>115938.44999999998</v>
      </c>
      <c r="C56" s="14"/>
      <c r="D56" s="14"/>
      <c r="E56" s="14"/>
      <c r="F56" s="14">
        <v>601079.56999999995</v>
      </c>
      <c r="G56" s="14">
        <v>984610.5</v>
      </c>
      <c r="H56" s="14">
        <f>701145.35+21353.51</f>
        <v>722498.86</v>
      </c>
      <c r="I56" s="13" t="s">
        <v>74</v>
      </c>
      <c r="J56" s="19"/>
      <c r="K56" s="19"/>
      <c r="L56" s="19"/>
      <c r="M56" s="19"/>
      <c r="N56" s="19">
        <v>256703.21</v>
      </c>
      <c r="O56" s="19">
        <v>571959.99</v>
      </c>
      <c r="P56" s="19">
        <v>212808.51</v>
      </c>
    </row>
    <row r="57" spans="1:17" ht="20.100000000000001" customHeight="1" x14ac:dyDescent="0.2">
      <c r="A57" s="13" t="s">
        <v>75</v>
      </c>
      <c r="B57" s="14"/>
      <c r="C57" s="14"/>
      <c r="D57" s="14"/>
      <c r="E57" s="14"/>
      <c r="F57" s="14"/>
      <c r="G57" s="14"/>
      <c r="H57" s="14"/>
      <c r="I57" s="13" t="s">
        <v>75</v>
      </c>
      <c r="J57" s="19"/>
      <c r="K57" s="19"/>
      <c r="L57" s="19"/>
      <c r="M57" s="19"/>
      <c r="N57" s="19"/>
      <c r="O57" s="19"/>
      <c r="P57" s="19"/>
    </row>
    <row r="58" spans="1:17" ht="20.100000000000001" customHeight="1" x14ac:dyDescent="0.2">
      <c r="A58" s="13" t="s">
        <v>76</v>
      </c>
      <c r="B58" s="14"/>
      <c r="C58" s="14">
        <v>4968.6000000000004</v>
      </c>
      <c r="D58" s="14"/>
      <c r="E58" s="14"/>
      <c r="F58" s="14"/>
      <c r="G58" s="14"/>
      <c r="H58" s="14">
        <v>25778.76</v>
      </c>
      <c r="I58" s="13" t="s">
        <v>76</v>
      </c>
      <c r="J58" s="19"/>
      <c r="K58" s="19"/>
      <c r="L58" s="19"/>
      <c r="M58" s="19"/>
      <c r="N58" s="19"/>
      <c r="O58" s="19"/>
      <c r="P58" s="19"/>
    </row>
    <row r="59" spans="1:17" ht="29.25" customHeight="1" x14ac:dyDescent="0.2">
      <c r="A59" s="13" t="s">
        <v>77</v>
      </c>
      <c r="B59" s="22">
        <f>B60+B63+B64+B65</f>
        <v>1533</v>
      </c>
      <c r="C59" s="22">
        <f t="shared" ref="C59:H59" si="25">C60+C63+C64+C65</f>
        <v>144655.01</v>
      </c>
      <c r="D59" s="22" t="e">
        <f t="shared" si="25"/>
        <v>#REF!</v>
      </c>
      <c r="E59" s="22">
        <f t="shared" si="25"/>
        <v>161099.29</v>
      </c>
      <c r="F59" s="22">
        <f t="shared" si="25"/>
        <v>16366.96</v>
      </c>
      <c r="G59" s="22">
        <f t="shared" si="25"/>
        <v>21209.22</v>
      </c>
      <c r="H59" s="22">
        <f t="shared" si="25"/>
        <v>30276.399999999998</v>
      </c>
      <c r="I59" s="13" t="s">
        <v>57</v>
      </c>
      <c r="J59" s="20">
        <f>SUM(J60:J64,J68:J73)</f>
        <v>8456.07</v>
      </c>
      <c r="K59" s="20">
        <f t="shared" ref="K59:P59" si="26">SUM(K60:K64,K68:K73)</f>
        <v>12672.000000000004</v>
      </c>
      <c r="L59" s="20" t="e">
        <f t="shared" si="26"/>
        <v>#REF!</v>
      </c>
      <c r="M59" s="20">
        <f t="shared" si="26"/>
        <v>34319.880000000005</v>
      </c>
      <c r="N59" s="20">
        <f t="shared" si="26"/>
        <v>345836.32</v>
      </c>
      <c r="O59" s="20">
        <f t="shared" si="26"/>
        <v>331316.38</v>
      </c>
      <c r="P59" s="20">
        <f t="shared" si="26"/>
        <v>384776.59</v>
      </c>
    </row>
    <row r="60" spans="1:17" ht="27" customHeight="1" x14ac:dyDescent="0.2">
      <c r="A60" s="13" t="s">
        <v>73</v>
      </c>
      <c r="B60" s="15">
        <f>SUM(B61:B62)</f>
        <v>0</v>
      </c>
      <c r="C60" s="15">
        <f t="shared" ref="C60:H60" si="27">SUM(C61:C62)</f>
        <v>138641.19</v>
      </c>
      <c r="D60" s="15" t="e">
        <f t="shared" si="27"/>
        <v>#REF!</v>
      </c>
      <c r="E60" s="15">
        <f t="shared" si="27"/>
        <v>111507.71</v>
      </c>
      <c r="F60" s="15">
        <f t="shared" si="27"/>
        <v>1085.0500000000002</v>
      </c>
      <c r="G60" s="15">
        <f t="shared" si="27"/>
        <v>4243.97</v>
      </c>
      <c r="H60" s="15">
        <f t="shared" si="27"/>
        <v>18756.96</v>
      </c>
      <c r="I60" s="13" t="s">
        <v>59</v>
      </c>
      <c r="J60" s="19"/>
      <c r="K60" s="19"/>
      <c r="L60" s="19"/>
      <c r="M60" s="19"/>
      <c r="N60" s="19"/>
      <c r="O60" s="19"/>
      <c r="P60" s="19"/>
      <c r="Q60" s="21"/>
    </row>
    <row r="61" spans="1:17" ht="20.100000000000001" customHeight="1" x14ac:dyDescent="0.2">
      <c r="A61" s="13" t="s">
        <v>74</v>
      </c>
      <c r="B61" s="14"/>
      <c r="C61" s="14">
        <f>239228.41-6869.84-137814.87+10896.52+0.08+33720.89-520</f>
        <v>138641.19</v>
      </c>
      <c r="D61" s="14" t="e">
        <f>#REF!</f>
        <v>#REF!</v>
      </c>
      <c r="E61" s="14">
        <v>111507.71</v>
      </c>
      <c r="F61" s="14">
        <f>1050.16+34.89</f>
        <v>1085.0500000000002</v>
      </c>
      <c r="G61" s="14">
        <v>4243.97</v>
      </c>
      <c r="H61" s="14">
        <v>18756.96</v>
      </c>
      <c r="I61" s="145" t="s">
        <v>61</v>
      </c>
      <c r="J61" s="132"/>
      <c r="K61" s="132"/>
      <c r="L61" s="142"/>
      <c r="M61" s="142"/>
      <c r="N61" s="142"/>
      <c r="O61" s="142"/>
      <c r="P61" s="142"/>
    </row>
    <row r="62" spans="1:17" ht="20.100000000000001" customHeight="1" x14ac:dyDescent="0.2">
      <c r="A62" s="13" t="s">
        <v>75</v>
      </c>
      <c r="B62" s="14"/>
      <c r="C62" s="14"/>
      <c r="D62" s="14"/>
      <c r="E62" s="14"/>
      <c r="F62" s="14"/>
      <c r="G62" s="14"/>
      <c r="H62" s="14"/>
      <c r="I62" s="145"/>
      <c r="J62" s="133"/>
      <c r="K62" s="133"/>
      <c r="L62" s="142"/>
      <c r="M62" s="142"/>
      <c r="N62" s="142"/>
      <c r="O62" s="142"/>
      <c r="P62" s="142"/>
    </row>
    <row r="63" spans="1:17" ht="39" customHeight="1" x14ac:dyDescent="0.2">
      <c r="A63" s="13" t="s">
        <v>78</v>
      </c>
      <c r="B63" s="14">
        <v>1533</v>
      </c>
      <c r="C63" s="14">
        <f>34179.39-28165.57</f>
        <v>6013.82</v>
      </c>
      <c r="D63" s="14" t="e">
        <f>#REF!</f>
        <v>#REF!</v>
      </c>
      <c r="E63" s="14">
        <v>10537</v>
      </c>
      <c r="F63" s="14"/>
      <c r="G63" s="14"/>
      <c r="H63" s="14"/>
      <c r="I63" s="13" t="s">
        <v>64</v>
      </c>
      <c r="J63" s="19"/>
      <c r="K63" s="19"/>
      <c r="L63" s="19"/>
      <c r="M63" s="19"/>
      <c r="N63" s="19"/>
      <c r="O63" s="19"/>
      <c r="P63" s="19"/>
    </row>
    <row r="64" spans="1:17" ht="23.25" customHeight="1" x14ac:dyDescent="0.2">
      <c r="A64" s="13" t="s">
        <v>79</v>
      </c>
      <c r="B64" s="14"/>
      <c r="C64" s="14"/>
      <c r="D64" s="14"/>
      <c r="E64" s="14">
        <v>39054.58</v>
      </c>
      <c r="F64" s="14">
        <f>2414.91+12867</f>
        <v>15281.91</v>
      </c>
      <c r="G64" s="14">
        <f>2957.25+14008</f>
        <v>16965.25</v>
      </c>
      <c r="H64" s="14">
        <f>7010.44+4509</f>
        <v>11519.439999999999</v>
      </c>
      <c r="I64" s="145" t="s">
        <v>80</v>
      </c>
      <c r="J64" s="130">
        <f>SUM(J66:J67)</f>
        <v>5511.17</v>
      </c>
      <c r="K64" s="130">
        <f t="shared" ref="K64:P64" si="28">SUM(K66:K67)</f>
        <v>3890.2000000000007</v>
      </c>
      <c r="L64" s="136" t="e">
        <f t="shared" si="28"/>
        <v>#REF!</v>
      </c>
      <c r="M64" s="136">
        <f t="shared" si="28"/>
        <v>16180.45</v>
      </c>
      <c r="N64" s="136">
        <f t="shared" si="28"/>
        <v>142411.59</v>
      </c>
      <c r="O64" s="136">
        <f t="shared" si="28"/>
        <v>121795.85999999999</v>
      </c>
      <c r="P64" s="136">
        <f t="shared" si="28"/>
        <v>199618.34</v>
      </c>
    </row>
    <row r="65" spans="1:17" ht="20.100000000000001" customHeight="1" x14ac:dyDescent="0.2">
      <c r="A65" s="13" t="s">
        <v>81</v>
      </c>
      <c r="B65" s="14"/>
      <c r="C65" s="14"/>
      <c r="D65" s="14"/>
      <c r="E65" s="14"/>
      <c r="F65" s="14"/>
      <c r="G65" s="14"/>
      <c r="H65" s="14"/>
      <c r="I65" s="145"/>
      <c r="J65" s="131"/>
      <c r="K65" s="131"/>
      <c r="L65" s="136"/>
      <c r="M65" s="136"/>
      <c r="N65" s="136"/>
      <c r="O65" s="136"/>
      <c r="P65" s="136"/>
    </row>
    <row r="66" spans="1:17" ht="20.100000000000001" customHeight="1" x14ac:dyDescent="0.2">
      <c r="A66" s="10" t="s">
        <v>82</v>
      </c>
      <c r="B66" s="8">
        <f>B67+B82</f>
        <v>307816.53999999998</v>
      </c>
      <c r="C66" s="8">
        <f t="shared" ref="C66:H66" si="29">C67+C82</f>
        <v>163534.32</v>
      </c>
      <c r="D66" s="8" t="e">
        <f t="shared" si="29"/>
        <v>#REF!</v>
      </c>
      <c r="E66" s="8">
        <f t="shared" si="29"/>
        <v>147696.88</v>
      </c>
      <c r="F66" s="8">
        <f t="shared" si="29"/>
        <v>38182.550000000003</v>
      </c>
      <c r="G66" s="8">
        <f t="shared" si="29"/>
        <v>49434.84</v>
      </c>
      <c r="H66" s="8">
        <f t="shared" si="29"/>
        <v>12637.060000000001</v>
      </c>
      <c r="I66" s="13" t="s">
        <v>74</v>
      </c>
      <c r="J66" s="19">
        <v>5511.17</v>
      </c>
      <c r="K66" s="19">
        <f>35528.43-26919.26+1783.14-1706.61-4795.5</f>
        <v>3890.2000000000007</v>
      </c>
      <c r="L66" s="19" t="e">
        <f>#REF!</f>
        <v>#REF!</v>
      </c>
      <c r="M66" s="19">
        <v>16180.45</v>
      </c>
      <c r="N66" s="19">
        <f>117011.28+25400.31</f>
        <v>142411.59</v>
      </c>
      <c r="O66" s="19">
        <f>97345.01+24450.85</f>
        <v>121795.85999999999</v>
      </c>
      <c r="P66" s="19">
        <f>175860.28+23758.06</f>
        <v>199618.34</v>
      </c>
    </row>
    <row r="67" spans="1:17" ht="20.100000000000001" customHeight="1" x14ac:dyDescent="0.2">
      <c r="A67" s="13" t="s">
        <v>83</v>
      </c>
      <c r="B67" s="22">
        <f>B68+B73+B78</f>
        <v>307816.53999999998</v>
      </c>
      <c r="C67" s="22">
        <f t="shared" ref="C67:H67" si="30">C68+C73+C78</f>
        <v>163534.32</v>
      </c>
      <c r="D67" s="22" t="e">
        <f t="shared" si="30"/>
        <v>#REF!</v>
      </c>
      <c r="E67" s="22">
        <f t="shared" si="30"/>
        <v>147696.88</v>
      </c>
      <c r="F67" s="22">
        <f t="shared" si="30"/>
        <v>38182.550000000003</v>
      </c>
      <c r="G67" s="22">
        <f t="shared" si="30"/>
        <v>49434.84</v>
      </c>
      <c r="H67" s="22">
        <f t="shared" si="30"/>
        <v>12637.060000000001</v>
      </c>
      <c r="I67" s="13" t="s">
        <v>75</v>
      </c>
      <c r="J67" s="19"/>
      <c r="K67" s="19"/>
      <c r="L67" s="19"/>
      <c r="M67" s="19"/>
      <c r="N67" s="19"/>
      <c r="O67" s="19"/>
      <c r="P67" s="19"/>
    </row>
    <row r="68" spans="1:17" ht="20.100000000000001" customHeight="1" x14ac:dyDescent="0.2">
      <c r="A68" s="13" t="s">
        <v>38</v>
      </c>
      <c r="B68" s="15">
        <f>SUM(B69:B72)</f>
        <v>0</v>
      </c>
      <c r="C68" s="15">
        <f t="shared" ref="C68:H68" si="31">SUM(C69:C72)</f>
        <v>0</v>
      </c>
      <c r="D68" s="15">
        <f t="shared" si="31"/>
        <v>0</v>
      </c>
      <c r="E68" s="15">
        <f t="shared" si="31"/>
        <v>0</v>
      </c>
      <c r="F68" s="15">
        <f t="shared" si="31"/>
        <v>0</v>
      </c>
      <c r="G68" s="15">
        <f t="shared" si="31"/>
        <v>0</v>
      </c>
      <c r="H68" s="15">
        <f t="shared" si="31"/>
        <v>0</v>
      </c>
      <c r="I68" s="13" t="s">
        <v>84</v>
      </c>
      <c r="J68" s="19"/>
      <c r="K68" s="19"/>
      <c r="L68" s="19"/>
      <c r="M68" s="19"/>
      <c r="N68" s="19"/>
      <c r="O68" s="19"/>
      <c r="P68" s="19"/>
    </row>
    <row r="69" spans="1:17" ht="20.100000000000001" customHeight="1" x14ac:dyDescent="0.2">
      <c r="A69" s="13" t="s">
        <v>39</v>
      </c>
      <c r="B69" s="14"/>
      <c r="C69" s="14"/>
      <c r="D69" s="14"/>
      <c r="E69" s="14"/>
      <c r="F69" s="14"/>
      <c r="G69" s="14"/>
      <c r="H69" s="14"/>
      <c r="I69" s="13" t="s">
        <v>85</v>
      </c>
      <c r="J69" s="19"/>
      <c r="K69" s="19"/>
      <c r="L69" s="19"/>
      <c r="M69" s="19"/>
      <c r="N69" s="19"/>
      <c r="O69" s="19"/>
      <c r="P69" s="19"/>
    </row>
    <row r="70" spans="1:17" ht="20.100000000000001" customHeight="1" x14ac:dyDescent="0.2">
      <c r="A70" s="13" t="s">
        <v>41</v>
      </c>
      <c r="B70" s="14"/>
      <c r="C70" s="14"/>
      <c r="D70" s="14"/>
      <c r="E70" s="14"/>
      <c r="F70" s="14"/>
      <c r="G70" s="14"/>
      <c r="H70" s="14"/>
      <c r="I70" s="145" t="s">
        <v>86</v>
      </c>
      <c r="J70" s="132">
        <v>2944.9</v>
      </c>
      <c r="K70" s="132">
        <f>9750.01-588.78-4696.25</f>
        <v>4464.9799999999996</v>
      </c>
      <c r="L70" s="142" t="e">
        <f>#REF!</f>
        <v>#REF!</v>
      </c>
      <c r="M70" s="142">
        <v>5043.24</v>
      </c>
      <c r="N70" s="142">
        <f>24871.62+31787.97+34237.17</f>
        <v>90896.76</v>
      </c>
      <c r="O70" s="142">
        <v>92153.5</v>
      </c>
      <c r="P70" s="142">
        <v>87151.81</v>
      </c>
    </row>
    <row r="71" spans="1:17" ht="20.100000000000001" customHeight="1" x14ac:dyDescent="0.2">
      <c r="A71" s="13" t="s">
        <v>42</v>
      </c>
      <c r="B71" s="14"/>
      <c r="C71" s="14"/>
      <c r="D71" s="14"/>
      <c r="E71" s="14"/>
      <c r="F71" s="14"/>
      <c r="G71" s="14"/>
      <c r="H71" s="14"/>
      <c r="I71" s="145"/>
      <c r="J71" s="133"/>
      <c r="K71" s="133"/>
      <c r="L71" s="142"/>
      <c r="M71" s="142"/>
      <c r="N71" s="142"/>
      <c r="O71" s="142"/>
      <c r="P71" s="142"/>
    </row>
    <row r="72" spans="1:17" ht="25.5" customHeight="1" x14ac:dyDescent="0.2">
      <c r="A72" s="13" t="s">
        <v>87</v>
      </c>
      <c r="B72" s="14"/>
      <c r="C72" s="14"/>
      <c r="D72" s="14"/>
      <c r="E72" s="14"/>
      <c r="F72" s="14"/>
      <c r="G72" s="14"/>
      <c r="H72" s="14"/>
      <c r="I72" s="13" t="s">
        <v>88</v>
      </c>
      <c r="J72" s="19"/>
      <c r="K72" s="19"/>
      <c r="L72" s="19"/>
      <c r="M72" s="19">
        <v>13096.19</v>
      </c>
      <c r="N72" s="19">
        <f>96771.08-1</f>
        <v>96770.08</v>
      </c>
      <c r="O72" s="19">
        <v>61579.21</v>
      </c>
      <c r="P72" s="19">
        <v>98006.44</v>
      </c>
    </row>
    <row r="73" spans="1:17" ht="20.100000000000001" customHeight="1" x14ac:dyDescent="0.2">
      <c r="A73" s="13" t="s">
        <v>45</v>
      </c>
      <c r="B73" s="15">
        <f>SUM(B74:B77)</f>
        <v>0</v>
      </c>
      <c r="C73" s="15">
        <f t="shared" ref="C73:H73" si="32">SUM(C74:C77)</f>
        <v>0</v>
      </c>
      <c r="D73" s="15">
        <f t="shared" si="32"/>
        <v>0</v>
      </c>
      <c r="E73" s="15">
        <f t="shared" si="32"/>
        <v>0</v>
      </c>
      <c r="F73" s="15">
        <f t="shared" si="32"/>
        <v>0</v>
      </c>
      <c r="G73" s="15">
        <f t="shared" si="32"/>
        <v>0</v>
      </c>
      <c r="H73" s="15">
        <f t="shared" si="32"/>
        <v>4509</v>
      </c>
      <c r="I73" s="13" t="s">
        <v>89</v>
      </c>
      <c r="J73" s="19"/>
      <c r="K73" s="19">
        <f>53309.04-49313.95+321.73</f>
        <v>4316.8200000000033</v>
      </c>
      <c r="L73" s="19" t="e">
        <f>#REF!</f>
        <v>#REF!</v>
      </c>
      <c r="M73" s="19"/>
      <c r="N73" s="19">
        <v>15757.89</v>
      </c>
      <c r="O73" s="19">
        <f>39464.36+308.95+16014.5</f>
        <v>55787.81</v>
      </c>
      <c r="P73" s="19"/>
    </row>
    <row r="74" spans="1:17" ht="20.100000000000001" customHeight="1" x14ac:dyDescent="0.2">
      <c r="A74" s="13" t="s">
        <v>39</v>
      </c>
      <c r="B74" s="14"/>
      <c r="C74" s="14"/>
      <c r="D74" s="14"/>
      <c r="E74" s="14"/>
      <c r="F74" s="14"/>
      <c r="G74" s="14"/>
      <c r="H74" s="14"/>
      <c r="I74" s="13" t="s">
        <v>90</v>
      </c>
      <c r="J74" s="23">
        <f>J75+J76</f>
        <v>0</v>
      </c>
      <c r="K74" s="23">
        <f>K75+K76</f>
        <v>0</v>
      </c>
      <c r="L74" s="23">
        <f>L75+L76</f>
        <v>0</v>
      </c>
      <c r="M74" s="23">
        <f>M75+M76</f>
        <v>0</v>
      </c>
      <c r="N74" s="23">
        <f>SUM(N75:N76)</f>
        <v>42382.04</v>
      </c>
      <c r="O74" s="23">
        <f>SUM(O75:O76)</f>
        <v>39312.43</v>
      </c>
      <c r="P74" s="23">
        <f>SUM(P75:P76)</f>
        <v>30446.12</v>
      </c>
    </row>
    <row r="75" spans="1:17" ht="20.100000000000001" customHeight="1" x14ac:dyDescent="0.2">
      <c r="A75" s="13" t="s">
        <v>41</v>
      </c>
      <c r="B75" s="14"/>
      <c r="C75" s="14"/>
      <c r="D75" s="14"/>
      <c r="E75" s="14"/>
      <c r="F75" s="14"/>
      <c r="G75" s="14"/>
      <c r="H75" s="14"/>
      <c r="I75" s="13" t="s">
        <v>91</v>
      </c>
      <c r="J75" s="19"/>
      <c r="K75" s="19"/>
      <c r="L75" s="19"/>
      <c r="M75" s="19"/>
      <c r="N75" s="19">
        <v>42382.04</v>
      </c>
      <c r="O75" s="19">
        <v>39312.43</v>
      </c>
      <c r="P75" s="19">
        <v>30446.12</v>
      </c>
    </row>
    <row r="76" spans="1:17" ht="20.100000000000001" customHeight="1" x14ac:dyDescent="0.2">
      <c r="A76" s="13" t="s">
        <v>42</v>
      </c>
      <c r="B76" s="14"/>
      <c r="C76" s="14"/>
      <c r="D76" s="14"/>
      <c r="E76" s="14"/>
      <c r="F76" s="14"/>
      <c r="G76" s="14"/>
      <c r="H76" s="14">
        <v>4509</v>
      </c>
      <c r="I76" s="13" t="s">
        <v>92</v>
      </c>
      <c r="J76" s="19"/>
      <c r="K76" s="19"/>
      <c r="L76" s="19"/>
      <c r="M76" s="19"/>
      <c r="N76" s="19"/>
      <c r="O76" s="19"/>
      <c r="P76" s="19"/>
    </row>
    <row r="77" spans="1:17" ht="20.100000000000001" customHeight="1" x14ac:dyDescent="0.2">
      <c r="A77" s="13" t="s">
        <v>87</v>
      </c>
      <c r="B77" s="14"/>
      <c r="C77" s="14"/>
      <c r="D77" s="14"/>
      <c r="E77" s="14"/>
      <c r="F77" s="14"/>
      <c r="G77" s="14"/>
      <c r="H77" s="14"/>
      <c r="I77" s="149" t="s">
        <v>93</v>
      </c>
      <c r="J77" s="134">
        <f>SUM(J79:J80)</f>
        <v>24574.15</v>
      </c>
      <c r="K77" s="134">
        <f t="shared" ref="K77:P77" si="33">SUM(K79:K80)</f>
        <v>26094.07</v>
      </c>
      <c r="L77" s="137" t="e">
        <f t="shared" si="33"/>
        <v>#REF!</v>
      </c>
      <c r="M77" s="137">
        <f t="shared" si="33"/>
        <v>11607.31</v>
      </c>
      <c r="N77" s="137">
        <f t="shared" si="33"/>
        <v>0</v>
      </c>
      <c r="O77" s="137">
        <f t="shared" si="33"/>
        <v>0</v>
      </c>
      <c r="P77" s="137">
        <f t="shared" si="33"/>
        <v>0</v>
      </c>
    </row>
    <row r="78" spans="1:17" ht="28.5" customHeight="1" x14ac:dyDescent="0.2">
      <c r="A78" s="13" t="s">
        <v>94</v>
      </c>
      <c r="B78" s="22">
        <f>SUM(B79:B81)</f>
        <v>307816.53999999998</v>
      </c>
      <c r="C78" s="22">
        <f t="shared" ref="C78:H78" si="34">SUM(C79:C81)</f>
        <v>163534.32</v>
      </c>
      <c r="D78" s="22" t="e">
        <f t="shared" si="34"/>
        <v>#REF!</v>
      </c>
      <c r="E78" s="22">
        <f t="shared" si="34"/>
        <v>147696.88</v>
      </c>
      <c r="F78" s="22">
        <f t="shared" si="34"/>
        <v>38182.550000000003</v>
      </c>
      <c r="G78" s="22">
        <f t="shared" si="34"/>
        <v>49434.84</v>
      </c>
      <c r="H78" s="22">
        <f t="shared" si="34"/>
        <v>8128.06</v>
      </c>
      <c r="I78" s="149"/>
      <c r="J78" s="135"/>
      <c r="K78" s="135"/>
      <c r="L78" s="137"/>
      <c r="M78" s="137"/>
      <c r="N78" s="137"/>
      <c r="O78" s="137"/>
      <c r="P78" s="137"/>
    </row>
    <row r="79" spans="1:17" ht="28.5" customHeight="1" x14ac:dyDescent="0.2">
      <c r="A79" s="13" t="s">
        <v>95</v>
      </c>
      <c r="B79" s="14"/>
      <c r="C79" s="14">
        <f>12552.63+150980.02+1.67</f>
        <v>163534.32</v>
      </c>
      <c r="D79" s="14" t="e">
        <f>#REF!</f>
        <v>#REF!</v>
      </c>
      <c r="E79" s="14">
        <v>147696.88</v>
      </c>
      <c r="F79" s="14">
        <f>496.79+37685.76</f>
        <v>38182.550000000003</v>
      </c>
      <c r="G79" s="14">
        <v>49434.84</v>
      </c>
      <c r="H79" s="14">
        <v>8128.06</v>
      </c>
      <c r="I79" s="13" t="s">
        <v>96</v>
      </c>
      <c r="J79" s="19"/>
      <c r="K79" s="19"/>
      <c r="L79" s="19"/>
      <c r="M79" s="19"/>
      <c r="N79" s="19"/>
      <c r="O79" s="19"/>
      <c r="P79" s="19"/>
    </row>
    <row r="80" spans="1:17" ht="20.100000000000001" customHeight="1" x14ac:dyDescent="0.2">
      <c r="A80" s="13" t="s">
        <v>97</v>
      </c>
      <c r="B80" s="14">
        <f>4444.19+303372.35</f>
        <v>307816.53999999998</v>
      </c>
      <c r="C80" s="14"/>
      <c r="D80" s="14"/>
      <c r="E80" s="14"/>
      <c r="F80" s="14"/>
      <c r="G80" s="14"/>
      <c r="H80" s="14"/>
      <c r="I80" s="13" t="s">
        <v>56</v>
      </c>
      <c r="J80" s="20">
        <f>SUM(J81:J82)</f>
        <v>24574.15</v>
      </c>
      <c r="K80" s="20">
        <f t="shared" ref="K80:P80" si="35">SUM(K81:K82)</f>
        <v>26094.07</v>
      </c>
      <c r="L80" s="20" t="e">
        <f t="shared" si="35"/>
        <v>#REF!</v>
      </c>
      <c r="M80" s="20">
        <f t="shared" si="35"/>
        <v>11607.31</v>
      </c>
      <c r="N80" s="20">
        <f t="shared" si="35"/>
        <v>0</v>
      </c>
      <c r="O80" s="20">
        <f t="shared" si="35"/>
        <v>0</v>
      </c>
      <c r="P80" s="20">
        <f t="shared" si="35"/>
        <v>0</v>
      </c>
      <c r="Q80" s="21"/>
    </row>
    <row r="81" spans="1:19" ht="20.100000000000001" customHeight="1" x14ac:dyDescent="0.2">
      <c r="A81" s="13" t="s">
        <v>98</v>
      </c>
      <c r="B81" s="14"/>
      <c r="C81" s="14"/>
      <c r="D81" s="14"/>
      <c r="E81" s="14"/>
      <c r="F81" s="14"/>
      <c r="G81" s="14"/>
      <c r="H81" s="14"/>
      <c r="I81" s="13" t="s">
        <v>49</v>
      </c>
      <c r="J81" s="19"/>
      <c r="K81" s="19"/>
      <c r="L81" s="19"/>
      <c r="M81" s="19"/>
      <c r="N81" s="19"/>
      <c r="O81" s="19"/>
      <c r="P81" s="19"/>
    </row>
    <row r="82" spans="1:19" ht="20.100000000000001" customHeight="1" x14ac:dyDescent="0.2">
      <c r="A82" s="13" t="s">
        <v>99</v>
      </c>
      <c r="B82" s="14"/>
      <c r="C82" s="14"/>
      <c r="D82" s="14"/>
      <c r="E82" s="14"/>
      <c r="F82" s="14"/>
      <c r="G82" s="14"/>
      <c r="H82" s="14"/>
      <c r="I82" s="13" t="s">
        <v>50</v>
      </c>
      <c r="J82" s="19">
        <v>24574.15</v>
      </c>
      <c r="K82" s="19">
        <v>26094.07</v>
      </c>
      <c r="L82" s="19" t="e">
        <f>#REF!</f>
        <v>#REF!</v>
      </c>
      <c r="M82" s="19">
        <v>11607.31</v>
      </c>
      <c r="N82" s="19"/>
      <c r="O82" s="19"/>
      <c r="P82" s="19"/>
    </row>
    <row r="83" spans="1:19" ht="25.5" x14ac:dyDescent="0.2">
      <c r="A83" s="10" t="s">
        <v>100</v>
      </c>
      <c r="B83" s="24">
        <v>4982.71</v>
      </c>
      <c r="C83" s="24">
        <v>1089.71</v>
      </c>
      <c r="D83" s="24" t="e">
        <f>#REF!</f>
        <v>#REF!</v>
      </c>
      <c r="E83" s="24">
        <v>671.59</v>
      </c>
      <c r="F83" s="24">
        <f>4862.36+29510.98</f>
        <v>34373.339999999997</v>
      </c>
      <c r="G83" s="24">
        <f>8010.72+50801.16</f>
        <v>58811.880000000005</v>
      </c>
      <c r="H83" s="24">
        <f>6668.03+9245.45</f>
        <v>15913.48</v>
      </c>
      <c r="I83" s="13"/>
      <c r="J83" s="19"/>
      <c r="K83" s="19"/>
      <c r="L83" s="19"/>
      <c r="M83" s="19"/>
      <c r="N83" s="19"/>
      <c r="O83" s="19"/>
      <c r="P83" s="19"/>
    </row>
    <row r="84" spans="1:19" ht="31.5" customHeight="1" x14ac:dyDescent="0.2">
      <c r="A84" s="10" t="s">
        <v>101</v>
      </c>
      <c r="B84" s="11">
        <f>B10+B46</f>
        <v>598597.16</v>
      </c>
      <c r="C84" s="11">
        <f t="shared" ref="C84:H84" si="36">C10+C46</f>
        <v>422520.34</v>
      </c>
      <c r="D84" s="11" t="e">
        <f t="shared" si="36"/>
        <v>#REF!</v>
      </c>
      <c r="E84" s="11">
        <f t="shared" si="36"/>
        <v>331058.71000000002</v>
      </c>
      <c r="F84" s="11">
        <f t="shared" si="36"/>
        <v>33960795.350000001</v>
      </c>
      <c r="G84" s="11">
        <f t="shared" si="36"/>
        <v>34283827.519999996</v>
      </c>
      <c r="H84" s="11">
        <f t="shared" si="36"/>
        <v>33960785.289999999</v>
      </c>
      <c r="I84" s="10" t="s">
        <v>102</v>
      </c>
      <c r="J84" s="17">
        <f>J10+J29</f>
        <v>598597.15999999968</v>
      </c>
      <c r="K84" s="17">
        <f t="shared" ref="K84:P84" si="37">K10+K29</f>
        <v>422520.33999999991</v>
      </c>
      <c r="L84" s="17" t="e">
        <f t="shared" si="37"/>
        <v>#REF!</v>
      </c>
      <c r="M84" s="17">
        <f t="shared" si="37"/>
        <v>324474.23999999999</v>
      </c>
      <c r="N84" s="17">
        <f t="shared" si="37"/>
        <v>33960795.350000001</v>
      </c>
      <c r="O84" s="17">
        <f t="shared" si="37"/>
        <v>34283827.520000003</v>
      </c>
      <c r="P84" s="17">
        <f t="shared" si="37"/>
        <v>33956276.289999999</v>
      </c>
    </row>
    <row r="85" spans="1:19" ht="13.9" customHeight="1" x14ac:dyDescent="0.2">
      <c r="J85" s="1"/>
      <c r="K85" s="1"/>
      <c r="L85" s="1"/>
      <c r="M85" s="1"/>
      <c r="N85" s="1"/>
      <c r="O85" s="1"/>
      <c r="P85" s="1"/>
      <c r="Q85" s="25"/>
      <c r="R85" s="25"/>
      <c r="S85" s="25"/>
    </row>
    <row r="86" spans="1:19" ht="13.9" customHeight="1" x14ac:dyDescent="0.2">
      <c r="A86" s="1" t="s">
        <v>215</v>
      </c>
      <c r="J86" s="1"/>
      <c r="K86" s="1"/>
      <c r="L86" s="1"/>
      <c r="M86" s="1"/>
      <c r="N86" s="1"/>
      <c r="O86" s="1"/>
      <c r="P86" s="1"/>
      <c r="Q86" s="25"/>
      <c r="R86" s="25"/>
      <c r="S86" s="25"/>
    </row>
    <row r="87" spans="1:19" ht="13.9" customHeight="1" x14ac:dyDescent="0.2">
      <c r="A87" s="1" t="s">
        <v>211</v>
      </c>
    </row>
    <row r="88" spans="1:19" ht="18" customHeight="1" x14ac:dyDescent="0.2">
      <c r="A88" s="1" t="s">
        <v>209</v>
      </c>
    </row>
    <row r="89" spans="1:19" x14ac:dyDescent="0.2">
      <c r="A89" s="26"/>
      <c r="B89" s="27"/>
      <c r="C89" s="27"/>
      <c r="D89" s="27"/>
      <c r="E89" s="27"/>
      <c r="F89" s="27" t="s">
        <v>103</v>
      </c>
      <c r="G89" s="27" t="s">
        <v>103</v>
      </c>
      <c r="H89" s="27" t="s">
        <v>103</v>
      </c>
      <c r="I89" s="28"/>
      <c r="J89" s="27"/>
      <c r="K89" s="27"/>
      <c r="L89" s="27"/>
      <c r="M89" s="27"/>
      <c r="N89" s="27" t="s">
        <v>104</v>
      </c>
      <c r="O89" s="27" t="s">
        <v>104</v>
      </c>
      <c r="P89" s="27" t="s">
        <v>104</v>
      </c>
    </row>
    <row r="90" spans="1:19" x14ac:dyDescent="0.2">
      <c r="A90" s="29"/>
      <c r="B90" s="29"/>
      <c r="C90" s="29"/>
      <c r="D90" s="29"/>
      <c r="E90" s="29"/>
      <c r="F90" s="143"/>
      <c r="G90" s="144"/>
      <c r="H90" s="30"/>
      <c r="I90" s="29"/>
      <c r="J90" s="29"/>
      <c r="K90" s="29"/>
      <c r="L90" s="29"/>
      <c r="M90" s="29"/>
      <c r="N90" s="143"/>
      <c r="O90" s="144"/>
      <c r="P90" s="30"/>
    </row>
    <row r="91" spans="1:19" ht="85.5" customHeight="1" x14ac:dyDescent="0.2">
      <c r="A91" s="29"/>
      <c r="B91" s="31"/>
      <c r="C91" s="31"/>
      <c r="D91" s="31"/>
      <c r="E91" s="31"/>
      <c r="F91" s="31"/>
      <c r="G91" s="31"/>
      <c r="H91" s="31"/>
      <c r="I91" s="29"/>
      <c r="J91" s="30"/>
      <c r="K91" s="30"/>
      <c r="L91" s="30"/>
      <c r="M91" s="30"/>
      <c r="N91" s="30"/>
      <c r="O91" s="30"/>
      <c r="P91" s="30"/>
    </row>
    <row r="92" spans="1:19" x14ac:dyDescent="0.2">
      <c r="A92" s="29"/>
      <c r="B92" s="31"/>
      <c r="C92" s="31"/>
      <c r="D92" s="31"/>
      <c r="E92" s="31"/>
      <c r="F92" s="31"/>
      <c r="G92" s="31"/>
      <c r="H92" s="31"/>
      <c r="I92" s="28"/>
      <c r="J92" s="27"/>
      <c r="K92" s="27"/>
      <c r="L92" s="27"/>
      <c r="M92" s="27"/>
      <c r="N92" s="27"/>
      <c r="O92" s="27"/>
      <c r="P92" s="27"/>
    </row>
    <row r="93" spans="1:19" x14ac:dyDescent="0.2">
      <c r="A93" s="29"/>
      <c r="B93" s="31"/>
      <c r="C93" s="31"/>
      <c r="D93" s="31"/>
      <c r="E93" s="31"/>
      <c r="F93" s="31"/>
      <c r="G93" s="31"/>
      <c r="H93" s="31"/>
      <c r="I93" s="29"/>
      <c r="J93" s="29"/>
      <c r="K93" s="29"/>
      <c r="L93" s="29"/>
      <c r="M93" s="29"/>
      <c r="N93" s="29"/>
      <c r="O93" s="143"/>
      <c r="P93" s="143"/>
    </row>
    <row r="94" spans="1:19" ht="80.25" customHeight="1" x14ac:dyDescent="0.2">
      <c r="A94" s="29"/>
      <c r="B94" s="31"/>
      <c r="C94" s="31"/>
      <c r="D94" s="31"/>
      <c r="E94" s="31"/>
      <c r="F94" s="31"/>
      <c r="G94" s="31"/>
      <c r="H94" s="31"/>
      <c r="I94" s="29"/>
      <c r="J94" s="30"/>
      <c r="K94" s="30"/>
      <c r="L94" s="30"/>
      <c r="M94" s="30"/>
      <c r="N94" s="30"/>
      <c r="O94" s="30"/>
      <c r="P94" s="30"/>
    </row>
    <row r="95" spans="1:19" x14ac:dyDescent="0.2">
      <c r="A95" s="29"/>
      <c r="B95" s="31"/>
      <c r="C95" s="31"/>
      <c r="D95" s="31"/>
      <c r="E95" s="31"/>
      <c r="F95" s="31"/>
      <c r="G95" s="31"/>
      <c r="H95" s="31"/>
      <c r="I95" s="28"/>
      <c r="J95" s="27"/>
      <c r="K95" s="27"/>
      <c r="L95" s="27"/>
      <c r="M95" s="27"/>
      <c r="N95" s="27"/>
      <c r="O95" s="27"/>
      <c r="P95" s="27"/>
    </row>
    <row r="96" spans="1:19" x14ac:dyDescent="0.2">
      <c r="A96" s="32"/>
      <c r="B96" s="33"/>
      <c r="C96" s="33"/>
      <c r="D96" s="33"/>
      <c r="E96" s="33"/>
      <c r="F96" s="33"/>
      <c r="G96" s="33"/>
      <c r="H96" s="33"/>
      <c r="I96" s="29"/>
      <c r="J96" s="29"/>
      <c r="K96" s="29"/>
      <c r="L96" s="29"/>
      <c r="M96" s="29"/>
      <c r="N96" s="29"/>
      <c r="O96" s="143"/>
      <c r="P96" s="143"/>
    </row>
    <row r="97" spans="1:16" ht="13.5" x14ac:dyDescent="0.25">
      <c r="A97" s="34"/>
      <c r="B97" s="35"/>
      <c r="C97" s="35"/>
      <c r="D97" s="35"/>
      <c r="E97" s="35"/>
      <c r="F97" s="35"/>
      <c r="G97" s="35"/>
      <c r="H97" s="35"/>
      <c r="I97" s="36"/>
      <c r="J97" s="37"/>
      <c r="K97" s="37"/>
      <c r="L97" s="37"/>
      <c r="M97" s="37"/>
      <c r="N97" s="37" t="e">
        <f>+N25=III_RACH_KALK!#REF!</f>
        <v>#REF!</v>
      </c>
      <c r="O97" s="37" t="e">
        <f>+O25=III_RACH_KALK!#REF!</f>
        <v>#REF!</v>
      </c>
      <c r="P97" s="37" t="e">
        <f>+P25=III_RACH_KALK!#REF!</f>
        <v>#REF!</v>
      </c>
    </row>
    <row r="98" spans="1:16" ht="13.5" x14ac:dyDescent="0.25">
      <c r="A98" s="38"/>
      <c r="B98" s="39"/>
      <c r="C98" s="39"/>
      <c r="D98" s="39"/>
      <c r="E98" s="39"/>
      <c r="F98" s="39"/>
      <c r="G98" s="39"/>
      <c r="H98" s="39"/>
      <c r="I98" s="36"/>
      <c r="J98" s="37"/>
      <c r="K98" s="37"/>
      <c r="L98" s="37"/>
      <c r="M98" s="37"/>
      <c r="N98" s="37" t="e">
        <f>N25=III_RACH_POR!#REF!</f>
        <v>#REF!</v>
      </c>
      <c r="O98" s="37" t="e">
        <f>O25=III_RACH_POR!#REF!</f>
        <v>#REF!</v>
      </c>
      <c r="P98" s="37" t="e">
        <f>P25=III_RACH_POR!#REF!</f>
        <v>#REF!</v>
      </c>
    </row>
    <row r="99" spans="1:16" x14ac:dyDescent="0.2">
      <c r="A99" s="32"/>
      <c r="B99" s="33"/>
      <c r="C99" s="33"/>
      <c r="D99" s="33"/>
      <c r="E99" s="33"/>
      <c r="F99" s="33"/>
      <c r="G99" s="33"/>
      <c r="H99" s="33"/>
    </row>
    <row r="100" spans="1:16" x14ac:dyDescent="0.2">
      <c r="A100" s="32"/>
      <c r="B100" s="33"/>
      <c r="C100" s="33"/>
      <c r="D100" s="33"/>
      <c r="E100" s="33"/>
      <c r="F100" s="33"/>
      <c r="G100" s="33"/>
      <c r="H100" s="33"/>
    </row>
    <row r="101" spans="1:16" x14ac:dyDescent="0.2">
      <c r="B101" s="21"/>
      <c r="C101" s="21"/>
      <c r="D101" s="21"/>
      <c r="E101" s="21"/>
      <c r="F101" s="21"/>
      <c r="G101" s="21"/>
      <c r="H101" s="21"/>
    </row>
    <row r="102" spans="1:16" x14ac:dyDescent="0.2">
      <c r="A102" s="32"/>
      <c r="B102" s="33"/>
      <c r="C102" s="33"/>
      <c r="D102" s="33"/>
      <c r="E102" s="33"/>
      <c r="F102" s="33"/>
      <c r="G102" s="33"/>
      <c r="H102" s="33"/>
    </row>
    <row r="103" spans="1:16" x14ac:dyDescent="0.2">
      <c r="A103" s="32"/>
      <c r="B103" s="33"/>
      <c r="C103" s="33"/>
      <c r="D103" s="33"/>
      <c r="E103" s="33"/>
      <c r="F103" s="33"/>
      <c r="G103" s="33"/>
      <c r="H103" s="33"/>
    </row>
    <row r="104" spans="1:16" x14ac:dyDescent="0.2">
      <c r="A104" s="32"/>
      <c r="B104" s="33"/>
      <c r="C104" s="33"/>
      <c r="D104" s="33"/>
      <c r="E104" s="33"/>
      <c r="F104" s="33"/>
      <c r="G104" s="33"/>
      <c r="H104" s="33"/>
    </row>
    <row r="105" spans="1:16" x14ac:dyDescent="0.2">
      <c r="A105" s="32"/>
      <c r="B105" s="33"/>
      <c r="C105" s="33"/>
      <c r="D105" s="33"/>
      <c r="E105" s="33"/>
      <c r="F105" s="33"/>
      <c r="G105" s="33"/>
      <c r="H105" s="33"/>
    </row>
    <row r="106" spans="1:16" x14ac:dyDescent="0.2">
      <c r="A106" s="32"/>
      <c r="B106" s="33"/>
      <c r="C106" s="33"/>
      <c r="D106" s="33"/>
      <c r="E106" s="33"/>
      <c r="F106" s="33"/>
      <c r="G106" s="33"/>
      <c r="H106" s="33"/>
    </row>
    <row r="107" spans="1:16" x14ac:dyDescent="0.2">
      <c r="A107" s="32"/>
      <c r="B107" s="33"/>
      <c r="C107" s="33"/>
      <c r="D107" s="33"/>
      <c r="E107" s="33"/>
      <c r="F107" s="33"/>
      <c r="G107" s="33"/>
      <c r="H107" s="33"/>
    </row>
    <row r="108" spans="1:16" x14ac:dyDescent="0.2">
      <c r="A108" s="32"/>
      <c r="B108" s="33"/>
      <c r="C108" s="33"/>
      <c r="D108" s="33"/>
      <c r="E108" s="33"/>
      <c r="F108" s="33"/>
      <c r="G108" s="33"/>
      <c r="H108" s="33"/>
      <c r="I108" s="32"/>
      <c r="J108" s="27"/>
      <c r="K108" s="27"/>
      <c r="L108" s="27"/>
      <c r="M108" s="27"/>
      <c r="N108" s="27"/>
      <c r="O108" s="27"/>
      <c r="P108" s="27"/>
    </row>
    <row r="109" spans="1:16" x14ac:dyDescent="0.2">
      <c r="A109" s="32"/>
      <c r="B109" s="33"/>
      <c r="C109" s="33"/>
      <c r="D109" s="33"/>
      <c r="E109" s="33"/>
      <c r="F109" s="33"/>
      <c r="G109" s="33"/>
      <c r="H109" s="33"/>
      <c r="I109" s="32"/>
      <c r="J109" s="27"/>
      <c r="K109" s="27"/>
      <c r="L109" s="27"/>
      <c r="M109" s="27"/>
      <c r="N109" s="27"/>
      <c r="O109" s="27"/>
      <c r="P109" s="27"/>
    </row>
    <row r="110" spans="1:16" x14ac:dyDescent="0.2">
      <c r="A110" s="32"/>
      <c r="B110" s="33"/>
      <c r="C110" s="33"/>
      <c r="D110" s="33"/>
      <c r="E110" s="33"/>
      <c r="F110" s="33"/>
      <c r="G110" s="33"/>
      <c r="H110" s="33"/>
      <c r="I110" s="32"/>
      <c r="J110" s="27"/>
      <c r="K110" s="27"/>
      <c r="L110" s="27"/>
      <c r="M110" s="27"/>
      <c r="N110" s="27"/>
      <c r="O110" s="27"/>
      <c r="P110" s="27"/>
    </row>
    <row r="111" spans="1:16" x14ac:dyDescent="0.2">
      <c r="A111" s="32"/>
      <c r="B111" s="33"/>
      <c r="C111" s="33"/>
      <c r="D111" s="33"/>
      <c r="E111" s="33"/>
      <c r="F111" s="33"/>
      <c r="G111" s="33"/>
      <c r="H111" s="33"/>
    </row>
    <row r="112" spans="1:16" x14ac:dyDescent="0.2">
      <c r="A112" s="32"/>
      <c r="B112" s="33"/>
      <c r="C112" s="33"/>
      <c r="D112" s="33"/>
      <c r="E112" s="33"/>
      <c r="F112" s="33"/>
      <c r="G112" s="33"/>
      <c r="H112" s="33"/>
    </row>
    <row r="113" spans="1:16" x14ac:dyDescent="0.2">
      <c r="A113" s="32"/>
      <c r="B113" s="33"/>
      <c r="C113" s="33"/>
      <c r="D113" s="33"/>
      <c r="E113" s="33"/>
      <c r="F113" s="33"/>
      <c r="G113" s="33"/>
      <c r="H113" s="33"/>
      <c r="I113" s="32"/>
      <c r="J113" s="40"/>
      <c r="K113" s="40"/>
      <c r="L113" s="40"/>
      <c r="M113" s="40"/>
      <c r="N113" s="40"/>
      <c r="O113" s="40"/>
      <c r="P113" s="40"/>
    </row>
    <row r="114" spans="1:16" x14ac:dyDescent="0.2">
      <c r="A114" s="32"/>
      <c r="B114" s="33"/>
      <c r="C114" s="33"/>
      <c r="D114" s="33"/>
      <c r="E114" s="33"/>
      <c r="F114" s="33"/>
      <c r="G114" s="33"/>
      <c r="H114" s="33"/>
      <c r="I114" s="32"/>
      <c r="J114" s="40"/>
      <c r="K114" s="40"/>
      <c r="L114" s="40"/>
      <c r="M114" s="40"/>
      <c r="N114" s="40"/>
      <c r="O114" s="40"/>
      <c r="P114" s="40"/>
    </row>
    <row r="115" spans="1:16" x14ac:dyDescent="0.2">
      <c r="A115" s="32"/>
      <c r="B115" s="33"/>
      <c r="C115" s="33"/>
      <c r="D115" s="33"/>
      <c r="E115" s="33"/>
      <c r="F115" s="33"/>
      <c r="G115" s="33"/>
      <c r="H115" s="33"/>
      <c r="I115" s="32"/>
      <c r="J115" s="40"/>
      <c r="K115" s="40"/>
      <c r="L115" s="40"/>
      <c r="M115" s="40"/>
      <c r="N115" s="40"/>
      <c r="O115" s="40"/>
      <c r="P115" s="40"/>
    </row>
    <row r="116" spans="1:16" x14ac:dyDescent="0.2">
      <c r="A116" s="32"/>
      <c r="B116" s="33"/>
      <c r="C116" s="33"/>
      <c r="D116" s="33"/>
      <c r="E116" s="33"/>
      <c r="F116" s="33"/>
      <c r="G116" s="33"/>
      <c r="H116" s="33"/>
      <c r="I116" s="32"/>
      <c r="J116" s="40"/>
      <c r="K116" s="40"/>
      <c r="L116" s="40"/>
      <c r="M116" s="40"/>
      <c r="N116" s="40"/>
      <c r="O116" s="40"/>
      <c r="P116" s="40"/>
    </row>
    <row r="117" spans="1:16" x14ac:dyDescent="0.2">
      <c r="A117" s="32"/>
      <c r="B117" s="33"/>
      <c r="C117" s="33"/>
      <c r="D117" s="33"/>
      <c r="E117" s="33"/>
      <c r="F117" s="33"/>
      <c r="G117" s="33"/>
      <c r="H117" s="33"/>
      <c r="I117" s="32"/>
      <c r="J117" s="40"/>
      <c r="K117" s="40"/>
      <c r="L117" s="40"/>
      <c r="M117" s="40"/>
      <c r="N117" s="40"/>
      <c r="O117" s="40"/>
      <c r="P117" s="40"/>
    </row>
    <row r="118" spans="1:16" x14ac:dyDescent="0.2">
      <c r="A118" s="32"/>
      <c r="B118" s="33"/>
      <c r="C118" s="33"/>
      <c r="D118" s="33"/>
      <c r="E118" s="33"/>
      <c r="F118" s="33"/>
      <c r="G118" s="33"/>
      <c r="H118" s="33"/>
      <c r="I118" s="32"/>
      <c r="J118" s="40"/>
      <c r="K118" s="40"/>
      <c r="L118" s="40"/>
      <c r="M118" s="40"/>
      <c r="N118" s="40"/>
      <c r="O118" s="40"/>
      <c r="P118" s="40"/>
    </row>
    <row r="119" spans="1:16" x14ac:dyDescent="0.2">
      <c r="A119" s="32"/>
      <c r="B119" s="33"/>
      <c r="C119" s="33"/>
      <c r="D119" s="33"/>
      <c r="E119" s="33"/>
      <c r="F119" s="33"/>
      <c r="G119" s="33"/>
      <c r="H119" s="33"/>
      <c r="I119" s="32"/>
      <c r="J119" s="40"/>
      <c r="K119" s="40"/>
      <c r="L119" s="40"/>
      <c r="M119" s="40"/>
      <c r="N119" s="40"/>
      <c r="O119" s="40"/>
      <c r="P119" s="40"/>
    </row>
    <row r="120" spans="1:16" x14ac:dyDescent="0.2">
      <c r="A120" s="32"/>
      <c r="B120" s="33"/>
      <c r="C120" s="33"/>
      <c r="D120" s="33"/>
      <c r="E120" s="33"/>
      <c r="F120" s="33"/>
      <c r="G120" s="33"/>
      <c r="H120" s="33"/>
      <c r="I120" s="32"/>
      <c r="J120" s="40"/>
      <c r="K120" s="40"/>
      <c r="L120" s="40"/>
      <c r="M120" s="40"/>
      <c r="N120" s="40"/>
      <c r="O120" s="40"/>
      <c r="P120" s="40"/>
    </row>
    <row r="121" spans="1:16" x14ac:dyDescent="0.2">
      <c r="A121" s="32"/>
      <c r="B121" s="33"/>
      <c r="C121" s="33"/>
      <c r="D121" s="33"/>
      <c r="E121" s="33"/>
      <c r="F121" s="33"/>
      <c r="G121" s="33"/>
      <c r="H121" s="33"/>
      <c r="I121" s="32"/>
      <c r="J121" s="40"/>
      <c r="K121" s="40"/>
      <c r="L121" s="40"/>
      <c r="M121" s="40"/>
      <c r="N121" s="40"/>
      <c r="O121" s="40"/>
      <c r="P121" s="40"/>
    </row>
    <row r="122" spans="1:16" x14ac:dyDescent="0.2">
      <c r="A122" s="32"/>
      <c r="B122" s="33"/>
      <c r="C122" s="33"/>
      <c r="D122" s="33"/>
      <c r="E122" s="33"/>
      <c r="F122" s="33"/>
      <c r="G122" s="33"/>
      <c r="H122" s="33"/>
      <c r="I122" s="32"/>
      <c r="J122" s="40"/>
      <c r="K122" s="40"/>
      <c r="L122" s="40"/>
      <c r="M122" s="40"/>
      <c r="N122" s="40"/>
      <c r="O122" s="40"/>
      <c r="P122" s="40"/>
    </row>
    <row r="123" spans="1:16" x14ac:dyDescent="0.2">
      <c r="A123" s="32"/>
      <c r="B123" s="33"/>
      <c r="C123" s="33"/>
      <c r="D123" s="33"/>
      <c r="E123" s="33"/>
      <c r="F123" s="33"/>
      <c r="G123" s="33"/>
      <c r="H123" s="33"/>
      <c r="I123" s="32"/>
      <c r="J123" s="40"/>
      <c r="K123" s="40"/>
      <c r="L123" s="40"/>
      <c r="M123" s="40"/>
      <c r="N123" s="40"/>
      <c r="O123" s="40"/>
      <c r="P123" s="40"/>
    </row>
    <row r="124" spans="1:16" x14ac:dyDescent="0.2">
      <c r="A124" s="32"/>
      <c r="B124" s="33"/>
      <c r="C124" s="33"/>
      <c r="D124" s="33"/>
      <c r="E124" s="33"/>
      <c r="F124" s="33"/>
      <c r="G124" s="33"/>
      <c r="H124" s="33"/>
      <c r="I124" s="32"/>
      <c r="J124" s="40"/>
      <c r="K124" s="40"/>
      <c r="L124" s="40"/>
      <c r="M124" s="40"/>
      <c r="N124" s="40"/>
      <c r="O124" s="40"/>
      <c r="P124" s="40"/>
    </row>
    <row r="125" spans="1:16" x14ac:dyDescent="0.2">
      <c r="A125" s="32"/>
      <c r="B125" s="33"/>
      <c r="C125" s="33"/>
      <c r="D125" s="33"/>
      <c r="E125" s="33"/>
      <c r="F125" s="33"/>
      <c r="G125" s="33"/>
      <c r="H125" s="33"/>
      <c r="I125" s="32"/>
      <c r="J125" s="40"/>
      <c r="K125" s="40"/>
      <c r="L125" s="40"/>
      <c r="M125" s="40"/>
      <c r="N125" s="40"/>
      <c r="O125" s="40"/>
      <c r="P125" s="40"/>
    </row>
    <row r="126" spans="1:16" x14ac:dyDescent="0.2">
      <c r="A126" s="32"/>
      <c r="B126" s="33"/>
      <c r="C126" s="33"/>
      <c r="D126" s="33"/>
      <c r="E126" s="33"/>
      <c r="F126" s="33"/>
      <c r="G126" s="33"/>
      <c r="H126" s="33"/>
      <c r="I126" s="32"/>
      <c r="J126" s="40"/>
      <c r="K126" s="40"/>
      <c r="L126" s="40"/>
      <c r="M126" s="40"/>
      <c r="N126" s="40"/>
      <c r="O126" s="40"/>
      <c r="P126" s="40"/>
    </row>
    <row r="127" spans="1:16" x14ac:dyDescent="0.2">
      <c r="A127" s="32"/>
      <c r="B127" s="33"/>
      <c r="C127" s="33"/>
      <c r="D127" s="33"/>
      <c r="E127" s="33"/>
      <c r="F127" s="33"/>
      <c r="G127" s="33"/>
      <c r="H127" s="33"/>
      <c r="I127" s="32"/>
      <c r="J127" s="40"/>
      <c r="K127" s="40"/>
      <c r="L127" s="40"/>
      <c r="M127" s="40"/>
      <c r="N127" s="40"/>
      <c r="O127" s="40"/>
      <c r="P127" s="40"/>
    </row>
    <row r="128" spans="1:16" x14ac:dyDescent="0.2">
      <c r="A128" s="32"/>
      <c r="B128" s="33"/>
      <c r="C128" s="33"/>
      <c r="D128" s="33"/>
      <c r="E128" s="33"/>
      <c r="F128" s="33"/>
      <c r="G128" s="33"/>
      <c r="H128" s="33"/>
      <c r="I128" s="32"/>
      <c r="J128" s="40"/>
      <c r="K128" s="40"/>
      <c r="L128" s="40"/>
      <c r="M128" s="40"/>
      <c r="N128" s="40"/>
      <c r="O128" s="40"/>
      <c r="P128" s="40"/>
    </row>
    <row r="129" spans="1:16" x14ac:dyDescent="0.2">
      <c r="A129" s="32"/>
      <c r="B129" s="33"/>
      <c r="C129" s="33"/>
      <c r="D129" s="33"/>
      <c r="E129" s="33"/>
      <c r="F129" s="33"/>
      <c r="G129" s="33"/>
      <c r="H129" s="33"/>
      <c r="I129" s="32"/>
      <c r="J129" s="33"/>
      <c r="K129" s="33"/>
      <c r="L129" s="33"/>
      <c r="M129" s="33"/>
      <c r="N129" s="33"/>
      <c r="O129" s="33"/>
      <c r="P129" s="33"/>
    </row>
    <row r="130" spans="1:16" x14ac:dyDescent="0.2">
      <c r="A130" s="32"/>
      <c r="B130" s="33"/>
      <c r="C130" s="33"/>
      <c r="D130" s="33"/>
      <c r="E130" s="33"/>
      <c r="F130" s="33"/>
      <c r="G130" s="33"/>
      <c r="H130" s="33"/>
      <c r="I130" s="32"/>
      <c r="J130" s="33"/>
      <c r="K130" s="33"/>
      <c r="L130" s="33"/>
      <c r="M130" s="33"/>
      <c r="N130" s="33"/>
      <c r="O130" s="33"/>
      <c r="P130" s="33"/>
    </row>
    <row r="131" spans="1:16" x14ac:dyDescent="0.2">
      <c r="A131" s="32"/>
      <c r="B131" s="33"/>
      <c r="C131" s="33"/>
      <c r="D131" s="33"/>
      <c r="E131" s="33"/>
      <c r="F131" s="33"/>
      <c r="G131" s="33"/>
      <c r="H131" s="33"/>
      <c r="I131" s="32"/>
      <c r="J131" s="33"/>
      <c r="K131" s="33"/>
      <c r="L131" s="33"/>
      <c r="M131" s="33"/>
      <c r="N131" s="33"/>
      <c r="O131" s="33"/>
      <c r="P131" s="33"/>
    </row>
    <row r="132" spans="1:16" x14ac:dyDescent="0.2">
      <c r="A132" s="32"/>
      <c r="B132" s="33"/>
      <c r="C132" s="33"/>
      <c r="D132" s="33"/>
      <c r="E132" s="33"/>
      <c r="F132" s="33"/>
      <c r="G132" s="33"/>
      <c r="H132" s="33"/>
      <c r="I132" s="32"/>
      <c r="J132" s="33"/>
      <c r="K132" s="33"/>
      <c r="L132" s="33"/>
      <c r="M132" s="33"/>
      <c r="N132" s="33"/>
      <c r="O132" s="33"/>
      <c r="P132" s="33"/>
    </row>
    <row r="133" spans="1:16" x14ac:dyDescent="0.2">
      <c r="A133" s="32"/>
      <c r="B133" s="33"/>
      <c r="C133" s="33"/>
      <c r="D133" s="33"/>
      <c r="E133" s="33"/>
      <c r="F133" s="33"/>
      <c r="G133" s="33"/>
      <c r="H133" s="33"/>
      <c r="I133" s="32"/>
      <c r="J133" s="33"/>
      <c r="K133" s="33"/>
      <c r="L133" s="33"/>
      <c r="M133" s="33"/>
      <c r="N133" s="33"/>
      <c r="O133" s="33"/>
      <c r="P133" s="33"/>
    </row>
    <row r="134" spans="1:16" x14ac:dyDescent="0.2">
      <c r="A134" s="32"/>
      <c r="B134" s="33"/>
      <c r="C134" s="33"/>
      <c r="D134" s="33"/>
      <c r="E134" s="33"/>
      <c r="F134" s="33"/>
      <c r="G134" s="33"/>
      <c r="H134" s="33"/>
      <c r="I134" s="32"/>
      <c r="J134" s="33"/>
      <c r="K134" s="33"/>
      <c r="L134" s="33"/>
      <c r="M134" s="33"/>
      <c r="N134" s="33"/>
      <c r="O134" s="33"/>
      <c r="P134" s="33"/>
    </row>
    <row r="135" spans="1:16" x14ac:dyDescent="0.2">
      <c r="A135" s="32"/>
      <c r="B135" s="33"/>
      <c r="C135" s="33"/>
      <c r="D135" s="33"/>
      <c r="E135" s="33"/>
      <c r="F135" s="33"/>
      <c r="G135" s="33"/>
      <c r="H135" s="33"/>
      <c r="I135" s="32"/>
      <c r="J135" s="33"/>
      <c r="K135" s="33"/>
      <c r="L135" s="33"/>
      <c r="M135" s="33"/>
      <c r="N135" s="33"/>
      <c r="O135" s="33"/>
      <c r="P135" s="33"/>
    </row>
    <row r="136" spans="1:16" x14ac:dyDescent="0.2">
      <c r="A136" s="32"/>
      <c r="B136" s="33"/>
      <c r="C136" s="33"/>
      <c r="D136" s="33"/>
      <c r="E136" s="33"/>
      <c r="F136" s="33"/>
      <c r="G136" s="33"/>
      <c r="H136" s="33"/>
      <c r="I136" s="32"/>
      <c r="J136" s="33"/>
      <c r="K136" s="33"/>
      <c r="L136" s="33"/>
      <c r="M136" s="33"/>
      <c r="N136" s="33"/>
      <c r="O136" s="33"/>
      <c r="P136" s="33"/>
    </row>
    <row r="137" spans="1:16" x14ac:dyDescent="0.2">
      <c r="A137" s="32"/>
      <c r="B137" s="33"/>
      <c r="C137" s="33"/>
      <c r="D137" s="33"/>
      <c r="E137" s="33"/>
      <c r="F137" s="33"/>
      <c r="G137" s="33"/>
      <c r="H137" s="33"/>
      <c r="I137" s="32"/>
      <c r="J137" s="33"/>
      <c r="K137" s="33"/>
      <c r="L137" s="33"/>
      <c r="M137" s="33"/>
      <c r="N137" s="33"/>
      <c r="O137" s="33"/>
      <c r="P137" s="33"/>
    </row>
    <row r="138" spans="1:16" x14ac:dyDescent="0.2">
      <c r="A138" s="32"/>
      <c r="B138" s="33"/>
      <c r="C138" s="33"/>
      <c r="D138" s="33"/>
      <c r="E138" s="33"/>
      <c r="F138" s="33"/>
      <c r="G138" s="33"/>
      <c r="H138" s="33"/>
      <c r="I138" s="32"/>
      <c r="J138" s="33"/>
      <c r="K138" s="33"/>
      <c r="L138" s="33"/>
      <c r="M138" s="33"/>
      <c r="N138" s="33"/>
      <c r="O138" s="33"/>
      <c r="P138" s="33"/>
    </row>
    <row r="139" spans="1:16" x14ac:dyDescent="0.2">
      <c r="A139" s="32"/>
      <c r="B139" s="33"/>
      <c r="C139" s="33"/>
      <c r="D139" s="33"/>
      <c r="E139" s="33"/>
      <c r="F139" s="33"/>
      <c r="G139" s="33"/>
      <c r="H139" s="33"/>
      <c r="I139" s="32"/>
      <c r="J139" s="33"/>
      <c r="K139" s="33"/>
      <c r="L139" s="33"/>
      <c r="M139" s="33"/>
      <c r="N139" s="33"/>
      <c r="O139" s="33"/>
      <c r="P139" s="33"/>
    </row>
    <row r="140" spans="1:16" x14ac:dyDescent="0.2">
      <c r="A140" s="32"/>
      <c r="B140" s="33"/>
      <c r="C140" s="33"/>
      <c r="D140" s="33"/>
      <c r="E140" s="33"/>
      <c r="F140" s="33"/>
      <c r="G140" s="33"/>
      <c r="H140" s="33"/>
      <c r="I140" s="32"/>
      <c r="J140" s="33"/>
      <c r="K140" s="33"/>
      <c r="L140" s="33"/>
      <c r="M140" s="33"/>
      <c r="N140" s="33"/>
      <c r="O140" s="33"/>
      <c r="P140" s="33"/>
    </row>
    <row r="141" spans="1:16" x14ac:dyDescent="0.2">
      <c r="A141" s="32"/>
      <c r="B141" s="33"/>
      <c r="C141" s="33"/>
      <c r="D141" s="33"/>
      <c r="E141" s="33"/>
      <c r="F141" s="33"/>
      <c r="G141" s="33"/>
      <c r="H141" s="33"/>
      <c r="I141" s="32"/>
      <c r="J141" s="33"/>
      <c r="K141" s="33"/>
      <c r="L141" s="33"/>
      <c r="M141" s="33"/>
      <c r="N141" s="33"/>
      <c r="O141" s="33"/>
      <c r="P141" s="33"/>
    </row>
    <row r="142" spans="1:16" x14ac:dyDescent="0.2">
      <c r="A142" s="32"/>
      <c r="B142" s="33"/>
      <c r="C142" s="33"/>
      <c r="D142" s="33"/>
      <c r="E142" s="33"/>
      <c r="F142" s="33"/>
      <c r="G142" s="33"/>
      <c r="H142" s="33"/>
      <c r="I142" s="32"/>
      <c r="J142" s="33"/>
      <c r="K142" s="33"/>
      <c r="L142" s="33"/>
      <c r="M142" s="33"/>
      <c r="N142" s="33"/>
      <c r="O142" s="33"/>
      <c r="P142" s="33"/>
    </row>
    <row r="143" spans="1:16" x14ac:dyDescent="0.2">
      <c r="A143" s="32"/>
      <c r="B143" s="33"/>
      <c r="C143" s="33"/>
      <c r="D143" s="33"/>
      <c r="E143" s="33"/>
      <c r="F143" s="33"/>
      <c r="G143" s="33"/>
      <c r="H143" s="33"/>
      <c r="I143" s="32"/>
      <c r="J143" s="33"/>
      <c r="K143" s="33"/>
      <c r="L143" s="33"/>
      <c r="M143" s="33"/>
      <c r="N143" s="33"/>
      <c r="O143" s="33"/>
      <c r="P143" s="33"/>
    </row>
    <row r="144" spans="1:16" x14ac:dyDescent="0.2">
      <c r="A144" s="32"/>
      <c r="B144" s="33"/>
      <c r="C144" s="33"/>
      <c r="D144" s="33"/>
      <c r="E144" s="33"/>
      <c r="F144" s="33"/>
      <c r="G144" s="33"/>
      <c r="H144" s="33"/>
      <c r="I144" s="32"/>
      <c r="J144" s="33"/>
      <c r="K144" s="33"/>
      <c r="L144" s="33"/>
      <c r="M144" s="33"/>
      <c r="N144" s="33"/>
      <c r="O144" s="33"/>
      <c r="P144" s="33"/>
    </row>
    <row r="145" spans="1:16" x14ac:dyDescent="0.2">
      <c r="A145" s="32"/>
      <c r="B145" s="33"/>
      <c r="C145" s="33"/>
      <c r="D145" s="33"/>
      <c r="E145" s="33"/>
      <c r="F145" s="33"/>
      <c r="G145" s="33"/>
      <c r="H145" s="33"/>
      <c r="I145" s="32"/>
      <c r="J145" s="33"/>
      <c r="K145" s="33"/>
      <c r="L145" s="33"/>
      <c r="M145" s="33"/>
      <c r="N145" s="33"/>
      <c r="O145" s="33"/>
      <c r="P145" s="33"/>
    </row>
    <row r="146" spans="1:16" x14ac:dyDescent="0.2">
      <c r="I146" s="32"/>
      <c r="J146" s="33"/>
      <c r="K146" s="33"/>
      <c r="L146" s="33"/>
      <c r="M146" s="33"/>
      <c r="N146" s="33"/>
      <c r="O146" s="33"/>
      <c r="P146" s="33"/>
    </row>
    <row r="147" spans="1:16" x14ac:dyDescent="0.2">
      <c r="I147" s="32"/>
      <c r="J147" s="33"/>
      <c r="K147" s="33"/>
      <c r="L147" s="33"/>
      <c r="M147" s="33"/>
      <c r="N147" s="33"/>
      <c r="O147" s="33"/>
      <c r="P147" s="33"/>
    </row>
    <row r="148" spans="1:16" x14ac:dyDescent="0.2">
      <c r="I148" s="32"/>
      <c r="J148" s="33"/>
      <c r="K148" s="33"/>
      <c r="L148" s="33"/>
      <c r="M148" s="33"/>
      <c r="N148" s="33"/>
      <c r="O148" s="33"/>
      <c r="P148" s="33"/>
    </row>
    <row r="149" spans="1:16" x14ac:dyDescent="0.2">
      <c r="I149" s="32"/>
      <c r="J149" s="33"/>
      <c r="K149" s="33"/>
      <c r="L149" s="33"/>
      <c r="M149" s="33"/>
      <c r="N149" s="33"/>
      <c r="O149" s="33"/>
      <c r="P149" s="33"/>
    </row>
    <row r="150" spans="1:16" x14ac:dyDescent="0.2">
      <c r="I150" s="32"/>
      <c r="J150" s="33"/>
      <c r="K150" s="33"/>
      <c r="L150" s="33"/>
      <c r="M150" s="33"/>
      <c r="N150" s="33"/>
      <c r="O150" s="33"/>
      <c r="P150" s="33"/>
    </row>
    <row r="151" spans="1:16" x14ac:dyDescent="0.2">
      <c r="I151" s="32"/>
      <c r="J151" s="33"/>
      <c r="K151" s="33"/>
      <c r="L151" s="33"/>
      <c r="M151" s="33"/>
      <c r="N151" s="33"/>
      <c r="O151" s="33"/>
      <c r="P151" s="33"/>
    </row>
    <row r="152" spans="1:16" x14ac:dyDescent="0.2">
      <c r="I152" s="32"/>
      <c r="J152" s="33"/>
      <c r="K152" s="33"/>
      <c r="L152" s="33"/>
      <c r="M152" s="33"/>
      <c r="N152" s="33"/>
      <c r="O152" s="33"/>
      <c r="P152" s="33"/>
    </row>
    <row r="153" spans="1:16" x14ac:dyDescent="0.2">
      <c r="I153" s="32"/>
      <c r="J153" s="33"/>
      <c r="K153" s="33"/>
      <c r="L153" s="33"/>
      <c r="M153" s="33"/>
      <c r="N153" s="33"/>
      <c r="O153" s="33"/>
      <c r="P153" s="33"/>
    </row>
    <row r="154" spans="1:16" x14ac:dyDescent="0.2">
      <c r="I154" s="32"/>
      <c r="J154" s="33"/>
      <c r="K154" s="33"/>
      <c r="L154" s="33"/>
      <c r="M154" s="33"/>
      <c r="N154" s="33"/>
      <c r="O154" s="33"/>
      <c r="P154" s="33"/>
    </row>
    <row r="155" spans="1:16" x14ac:dyDescent="0.2">
      <c r="I155" s="32"/>
      <c r="J155" s="33"/>
      <c r="K155" s="33"/>
      <c r="L155" s="33"/>
      <c r="M155" s="33"/>
      <c r="N155" s="33"/>
      <c r="O155" s="33"/>
      <c r="P155" s="33"/>
    </row>
    <row r="156" spans="1:16" x14ac:dyDescent="0.2">
      <c r="I156" s="32"/>
      <c r="J156" s="33"/>
      <c r="K156" s="33"/>
      <c r="L156" s="33"/>
      <c r="M156" s="33"/>
      <c r="N156" s="33"/>
      <c r="O156" s="33"/>
      <c r="P156" s="33"/>
    </row>
    <row r="157" spans="1:16" x14ac:dyDescent="0.2">
      <c r="I157" s="32"/>
      <c r="J157" s="33"/>
      <c r="K157" s="33"/>
      <c r="L157" s="33"/>
      <c r="M157" s="33"/>
      <c r="N157" s="33"/>
      <c r="O157" s="33"/>
      <c r="P157" s="33"/>
    </row>
    <row r="158" spans="1:16" x14ac:dyDescent="0.2">
      <c r="I158" s="32"/>
      <c r="J158" s="33"/>
      <c r="K158" s="33"/>
      <c r="L158" s="33"/>
      <c r="M158" s="33"/>
      <c r="N158" s="33"/>
      <c r="O158" s="33"/>
      <c r="P158" s="33"/>
    </row>
    <row r="159" spans="1:16" x14ac:dyDescent="0.2">
      <c r="I159" s="32"/>
      <c r="J159" s="33"/>
      <c r="K159" s="33"/>
      <c r="L159" s="33"/>
      <c r="M159" s="33"/>
      <c r="N159" s="33"/>
      <c r="O159" s="33"/>
      <c r="P159" s="33"/>
    </row>
    <row r="160" spans="1:16" x14ac:dyDescent="0.2">
      <c r="I160" s="32"/>
      <c r="J160" s="33"/>
      <c r="K160" s="33"/>
      <c r="L160" s="33"/>
      <c r="M160" s="33"/>
      <c r="N160" s="33"/>
      <c r="O160" s="33"/>
      <c r="P160" s="33"/>
    </row>
    <row r="161" spans="9:16" x14ac:dyDescent="0.2">
      <c r="I161" s="32"/>
      <c r="J161" s="33"/>
      <c r="K161" s="33"/>
      <c r="L161" s="33"/>
      <c r="M161" s="33"/>
      <c r="N161" s="33"/>
      <c r="O161" s="33"/>
      <c r="P161" s="33"/>
    </row>
    <row r="162" spans="9:16" x14ac:dyDescent="0.2">
      <c r="I162" s="32"/>
      <c r="J162" s="33"/>
      <c r="K162" s="33"/>
      <c r="L162" s="33"/>
      <c r="M162" s="33"/>
      <c r="N162" s="33"/>
      <c r="O162" s="33"/>
      <c r="P162" s="33"/>
    </row>
  </sheetData>
  <mergeCells count="160">
    <mergeCell ref="J64:J65"/>
    <mergeCell ref="J70:J71"/>
    <mergeCell ref="J77:J78"/>
    <mergeCell ref="J29:J30"/>
    <mergeCell ref="J31:J32"/>
    <mergeCell ref="J33:J34"/>
    <mergeCell ref="J35:J36"/>
    <mergeCell ref="J42:J43"/>
    <mergeCell ref="J47:J48"/>
    <mergeCell ref="J11:J12"/>
    <mergeCell ref="J13:J14"/>
    <mergeCell ref="J15:J16"/>
    <mergeCell ref="J17:J18"/>
    <mergeCell ref="J19:J20"/>
    <mergeCell ref="J25:J26"/>
    <mergeCell ref="A1:H5"/>
    <mergeCell ref="M77:M78"/>
    <mergeCell ref="M47:M48"/>
    <mergeCell ref="M51:M52"/>
    <mergeCell ref="M54:M55"/>
    <mergeCell ref="M61:M62"/>
    <mergeCell ref="M64:M65"/>
    <mergeCell ref="M70:M71"/>
    <mergeCell ref="I64:I65"/>
    <mergeCell ref="I54:I55"/>
    <mergeCell ref="N64:N65"/>
    <mergeCell ref="M11:M12"/>
    <mergeCell ref="M13:M14"/>
    <mergeCell ref="M15:M16"/>
    <mergeCell ref="M17:M18"/>
    <mergeCell ref="M19:M20"/>
    <mergeCell ref="M25:M26"/>
    <mergeCell ref="M27:M28"/>
    <mergeCell ref="M29:M30"/>
    <mergeCell ref="M31:M32"/>
    <mergeCell ref="O77:O78"/>
    <mergeCell ref="P77:P78"/>
    <mergeCell ref="N70:N71"/>
    <mergeCell ref="N77:N78"/>
    <mergeCell ref="N11:N12"/>
    <mergeCell ref="N13:N14"/>
    <mergeCell ref="N15:N16"/>
    <mergeCell ref="N17:N18"/>
    <mergeCell ref="N19:N20"/>
    <mergeCell ref="N25:N26"/>
    <mergeCell ref="O64:O65"/>
    <mergeCell ref="P64:P65"/>
    <mergeCell ref="N61:N62"/>
    <mergeCell ref="O93:P93"/>
    <mergeCell ref="O96:P96"/>
    <mergeCell ref="I70:I71"/>
    <mergeCell ref="O70:O71"/>
    <mergeCell ref="P70:P71"/>
    <mergeCell ref="I77:I78"/>
    <mergeCell ref="L64:L65"/>
    <mergeCell ref="O54:O55"/>
    <mergeCell ref="P54:P55"/>
    <mergeCell ref="N51:N52"/>
    <mergeCell ref="N54:N55"/>
    <mergeCell ref="I61:I62"/>
    <mergeCell ref="O61:O62"/>
    <mergeCell ref="P61:P62"/>
    <mergeCell ref="J51:J52"/>
    <mergeCell ref="J54:J55"/>
    <mergeCell ref="J61:J62"/>
    <mergeCell ref="O47:O48"/>
    <mergeCell ref="P47:P48"/>
    <mergeCell ref="N42:N43"/>
    <mergeCell ref="N47:N48"/>
    <mergeCell ref="I51:I52"/>
    <mergeCell ref="O51:O52"/>
    <mergeCell ref="P51:P52"/>
    <mergeCell ref="M42:M43"/>
    <mergeCell ref="I35:I36"/>
    <mergeCell ref="O35:O36"/>
    <mergeCell ref="P35:P36"/>
    <mergeCell ref="N33:N34"/>
    <mergeCell ref="N35:N36"/>
    <mergeCell ref="I42:I43"/>
    <mergeCell ref="O42:O43"/>
    <mergeCell ref="P42:P43"/>
    <mergeCell ref="M33:M34"/>
    <mergeCell ref="M35:M36"/>
    <mergeCell ref="I31:I32"/>
    <mergeCell ref="O31:O32"/>
    <mergeCell ref="P31:P32"/>
    <mergeCell ref="N29:N30"/>
    <mergeCell ref="N31:N32"/>
    <mergeCell ref="I33:I34"/>
    <mergeCell ref="O33:O34"/>
    <mergeCell ref="P33:P34"/>
    <mergeCell ref="L31:L32"/>
    <mergeCell ref="L33:L34"/>
    <mergeCell ref="I27:I28"/>
    <mergeCell ref="O27:O28"/>
    <mergeCell ref="P27:P28"/>
    <mergeCell ref="N27:N28"/>
    <mergeCell ref="I29:I30"/>
    <mergeCell ref="O29:O30"/>
    <mergeCell ref="P29:P30"/>
    <mergeCell ref="L27:L28"/>
    <mergeCell ref="L29:L30"/>
    <mergeCell ref="J27:J28"/>
    <mergeCell ref="I19:I20"/>
    <mergeCell ref="O19:O20"/>
    <mergeCell ref="P19:P20"/>
    <mergeCell ref="I25:I26"/>
    <mergeCell ref="O25:O26"/>
    <mergeCell ref="P25:P26"/>
    <mergeCell ref="L19:L20"/>
    <mergeCell ref="L25:L26"/>
    <mergeCell ref="P13:P14"/>
    <mergeCell ref="I15:I16"/>
    <mergeCell ref="O15:O16"/>
    <mergeCell ref="P15:P16"/>
    <mergeCell ref="I17:I18"/>
    <mergeCell ref="O17:O18"/>
    <mergeCell ref="P17:P18"/>
    <mergeCell ref="L13:L14"/>
    <mergeCell ref="L15:L16"/>
    <mergeCell ref="L17:L18"/>
    <mergeCell ref="N90:O90"/>
    <mergeCell ref="A6:G6"/>
    <mergeCell ref="A7:G7"/>
    <mergeCell ref="A8:P8"/>
    <mergeCell ref="I11:I12"/>
    <mergeCell ref="O11:O12"/>
    <mergeCell ref="P11:P12"/>
    <mergeCell ref="I13:I14"/>
    <mergeCell ref="L11:L12"/>
    <mergeCell ref="O13:O14"/>
    <mergeCell ref="L77:L78"/>
    <mergeCell ref="L47:L48"/>
    <mergeCell ref="L51:L52"/>
    <mergeCell ref="L54:L55"/>
    <mergeCell ref="L61:L62"/>
    <mergeCell ref="F90:G90"/>
    <mergeCell ref="I47:I48"/>
    <mergeCell ref="L70:L71"/>
    <mergeCell ref="K54:K55"/>
    <mergeCell ref="K61:K62"/>
    <mergeCell ref="L35:L36"/>
    <mergeCell ref="L42:L43"/>
    <mergeCell ref="K11:K12"/>
    <mergeCell ref="K13:K14"/>
    <mergeCell ref="K15:K16"/>
    <mergeCell ref="K17:K18"/>
    <mergeCell ref="K19:K20"/>
    <mergeCell ref="K25:K26"/>
    <mergeCell ref="K27:K28"/>
    <mergeCell ref="K29:K30"/>
    <mergeCell ref="K64:K65"/>
    <mergeCell ref="K70:K71"/>
    <mergeCell ref="K77:K78"/>
    <mergeCell ref="K31:K32"/>
    <mergeCell ref="K33:K34"/>
    <mergeCell ref="K35:K36"/>
    <mergeCell ref="K42:K43"/>
    <mergeCell ref="K47:K48"/>
    <mergeCell ref="K51:K52"/>
  </mergeCells>
  <printOptions horizontalCentered="1"/>
  <pageMargins left="0.78740157480314965" right="0.19685039370078741" top="0.39370078740157483" bottom="0.39370078740157483" header="0.51181102362204722" footer="0.51181102362204722"/>
  <pageSetup paperSize="9" scale="62" firstPageNumber="0" fitToHeight="2" orientation="portrait" horizontalDpi="300" verticalDpi="300" r:id="rId1"/>
  <headerFooter alignWithMargins="0"/>
  <rowBreaks count="1" manualBreakCount="1"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B1:S196"/>
  <sheetViews>
    <sheetView topLeftCell="A40" workbookViewId="0">
      <selection activeCell="C14" sqref="C14:C22"/>
    </sheetView>
  </sheetViews>
  <sheetFormatPr defaultRowHeight="12.75" x14ac:dyDescent="0.2"/>
  <cols>
    <col min="1" max="1" width="6.42578125" style="1" customWidth="1"/>
    <col min="2" max="2" width="77.28515625" style="65" customWidth="1"/>
    <col min="3" max="3" width="23.28515625" style="126" customWidth="1"/>
    <col min="4" max="5" width="25.85546875" style="65" customWidth="1"/>
    <col min="6" max="6" width="25.85546875" style="65" hidden="1" customWidth="1"/>
    <col min="7" max="8" width="0" style="1" hidden="1" customWidth="1"/>
    <col min="9" max="9" width="12.7109375" style="1" bestFit="1" customWidth="1"/>
    <col min="10" max="16384" width="9.140625" style="1"/>
  </cols>
  <sheetData>
    <row r="1" spans="2:19" ht="21" customHeight="1" x14ac:dyDescent="0.2">
      <c r="B1" s="96"/>
      <c r="C1" s="115"/>
      <c r="D1" s="96"/>
      <c r="E1" s="96"/>
      <c r="F1" s="96"/>
    </row>
    <row r="2" spans="2:19" ht="15" customHeight="1" x14ac:dyDescent="0.2">
      <c r="B2" s="96"/>
      <c r="C2" s="115"/>
      <c r="D2" s="96"/>
      <c r="E2" s="96"/>
      <c r="F2" s="96"/>
    </row>
    <row r="3" spans="2:19" ht="15" customHeight="1" x14ac:dyDescent="0.2">
      <c r="B3" s="154" t="s">
        <v>206</v>
      </c>
      <c r="C3" s="154"/>
      <c r="D3" s="154"/>
      <c r="E3" s="154"/>
      <c r="F3" s="154"/>
      <c r="G3" s="154"/>
      <c r="H3" s="154"/>
    </row>
    <row r="4" spans="2:19" ht="15.75" customHeight="1" x14ac:dyDescent="0.2">
      <c r="B4" s="111" t="s">
        <v>207</v>
      </c>
      <c r="C4" s="116"/>
    </row>
    <row r="5" spans="2:19" ht="33.75" customHeight="1" x14ac:dyDescent="0.2">
      <c r="B5" s="156" t="s">
        <v>200</v>
      </c>
      <c r="C5" s="156"/>
      <c r="D5" s="156"/>
      <c r="E5" s="156"/>
      <c r="F5" s="156"/>
    </row>
    <row r="6" spans="2:19" ht="37.5" customHeight="1" x14ac:dyDescent="0.2">
      <c r="B6" s="48" t="s">
        <v>149</v>
      </c>
      <c r="C6" s="117" t="s">
        <v>213</v>
      </c>
      <c r="D6" s="5" t="s">
        <v>213</v>
      </c>
      <c r="E6" s="5" t="s">
        <v>212</v>
      </c>
      <c r="F6" s="5" t="s">
        <v>205</v>
      </c>
    </row>
    <row r="7" spans="2:19" ht="24.95" customHeight="1" x14ac:dyDescent="0.2">
      <c r="B7" s="98" t="s">
        <v>150</v>
      </c>
      <c r="C7" s="99">
        <f>SUM(C9:C12)</f>
        <v>257755.55000000002</v>
      </c>
      <c r="D7" s="99">
        <f>SUM(D9:D12)</f>
        <v>459937.47000000003</v>
      </c>
      <c r="E7" s="99">
        <f>SUM(E9:E12)</f>
        <v>388045.00000000006</v>
      </c>
      <c r="F7" s="99">
        <f>SUM(F9:F12)</f>
        <v>298426.31</v>
      </c>
      <c r="I7" s="21">
        <f>D9+D12+D24+D39</f>
        <v>2457332.5299999998</v>
      </c>
    </row>
    <row r="8" spans="2:19" ht="20.100000000000001" customHeight="1" x14ac:dyDescent="0.2">
      <c r="B8" s="100" t="s">
        <v>151</v>
      </c>
      <c r="C8" s="119"/>
      <c r="D8" s="101"/>
      <c r="E8" s="101"/>
      <c r="F8" s="101"/>
    </row>
    <row r="9" spans="2:19" ht="23.25" customHeight="1" x14ac:dyDescent="0.2">
      <c r="B9" s="97" t="s">
        <v>152</v>
      </c>
      <c r="C9" s="120">
        <f>155997.67+58291.81</f>
        <v>214289.48</v>
      </c>
      <c r="D9" s="102">
        <f>214346.62+202181.92-57.14</f>
        <v>416471.4</v>
      </c>
      <c r="E9" s="102">
        <f>196145.86+10.57+84385.7+7324.02+59759.28+1000</f>
        <v>348625.43000000005</v>
      </c>
      <c r="F9" s="102">
        <f>172302.83+5657.06+86822.36</f>
        <v>264782.25</v>
      </c>
    </row>
    <row r="10" spans="2:19" ht="30.75" customHeight="1" x14ac:dyDescent="0.2">
      <c r="B10" s="97" t="s">
        <v>153</v>
      </c>
      <c r="C10" s="102">
        <v>43393.120000000003</v>
      </c>
      <c r="D10" s="102">
        <v>43393.120000000003</v>
      </c>
      <c r="E10" s="102">
        <v>36111</v>
      </c>
      <c r="F10" s="102">
        <v>30302.12</v>
      </c>
    </row>
    <row r="11" spans="2:19" ht="20.100000000000001" customHeight="1" x14ac:dyDescent="0.2">
      <c r="B11" s="97" t="s">
        <v>154</v>
      </c>
      <c r="C11" s="120"/>
      <c r="D11" s="102"/>
      <c r="E11" s="102"/>
      <c r="F11" s="102"/>
    </row>
    <row r="12" spans="2:19" ht="20.100000000000001" customHeight="1" x14ac:dyDescent="0.2">
      <c r="B12" s="97" t="s">
        <v>155</v>
      </c>
      <c r="C12" s="120">
        <v>72.95</v>
      </c>
      <c r="D12" s="102">
        <f>57.14+15.81</f>
        <v>72.95</v>
      </c>
      <c r="E12" s="102">
        <v>3308.57</v>
      </c>
      <c r="F12" s="102">
        <f>2772.84+569.1</f>
        <v>3341.94</v>
      </c>
    </row>
    <row r="13" spans="2:19" ht="24.95" customHeight="1" x14ac:dyDescent="0.2">
      <c r="B13" s="98" t="s">
        <v>156</v>
      </c>
      <c r="C13" s="99">
        <f>SUM(C14:C17,C19:C22)</f>
        <v>234768.72999999998</v>
      </c>
      <c r="D13" s="99">
        <f>SUM(D14:D17,D19:D22)</f>
        <v>2200609.9900000002</v>
      </c>
      <c r="E13" s="99">
        <f>SUM(E14:E17,E19:E22)</f>
        <v>1518152.4500000002</v>
      </c>
      <c r="F13" s="99">
        <f>SUM(F14:F17,F19:F22)</f>
        <v>750733.98</v>
      </c>
      <c r="I13" s="21"/>
    </row>
    <row r="14" spans="2:19" ht="20.100000000000001" customHeight="1" x14ac:dyDescent="0.2">
      <c r="B14" s="97" t="s">
        <v>157</v>
      </c>
      <c r="C14" s="129">
        <v>911.89</v>
      </c>
      <c r="D14" s="102">
        <v>26289.21</v>
      </c>
      <c r="E14" s="102">
        <v>17571.68</v>
      </c>
      <c r="F14" s="102">
        <v>7229.31</v>
      </c>
      <c r="L14" s="1" t="s">
        <v>222</v>
      </c>
      <c r="M14" s="1" t="s">
        <v>223</v>
      </c>
      <c r="N14" s="1" t="s">
        <v>224</v>
      </c>
      <c r="O14" s="1" t="s">
        <v>225</v>
      </c>
      <c r="P14" s="1" t="s">
        <v>226</v>
      </c>
      <c r="Q14" s="1" t="s">
        <v>227</v>
      </c>
      <c r="R14" s="1" t="s">
        <v>228</v>
      </c>
      <c r="S14" s="1" t="s">
        <v>229</v>
      </c>
    </row>
    <row r="15" spans="2:19" ht="20.100000000000001" customHeight="1" x14ac:dyDescent="0.2">
      <c r="B15" s="97" t="s">
        <v>158</v>
      </c>
      <c r="C15" s="129">
        <f>1320.23+10259.07+15000</f>
        <v>26579.3</v>
      </c>
      <c r="D15" s="102">
        <v>1361346.34</v>
      </c>
      <c r="E15" s="102">
        <v>575078.9</v>
      </c>
      <c r="F15" s="102">
        <v>162932.57</v>
      </c>
      <c r="L15" s="1" t="s">
        <v>230</v>
      </c>
      <c r="M15" s="1" t="s">
        <v>231</v>
      </c>
      <c r="N15" s="1">
        <v>0</v>
      </c>
      <c r="O15" s="1">
        <v>0</v>
      </c>
      <c r="P15" s="1">
        <v>911.89</v>
      </c>
      <c r="Q15" s="1">
        <v>0</v>
      </c>
      <c r="R15" s="1">
        <v>911.89</v>
      </c>
      <c r="S15" s="1">
        <v>0</v>
      </c>
    </row>
    <row r="16" spans="2:19" ht="20.100000000000001" customHeight="1" x14ac:dyDescent="0.2">
      <c r="B16" s="97" t="s">
        <v>159</v>
      </c>
      <c r="C16" s="129">
        <f>5476.66+82678.09+18998.27-57.15</f>
        <v>107095.87000000001</v>
      </c>
      <c r="D16" s="102">
        <v>366499.07</v>
      </c>
      <c r="E16" s="102">
        <v>641653.37</v>
      </c>
      <c r="F16" s="102">
        <v>373227.09</v>
      </c>
      <c r="L16" s="1" t="s">
        <v>235</v>
      </c>
      <c r="M16" s="1" t="s">
        <v>236</v>
      </c>
      <c r="N16" s="1">
        <v>0</v>
      </c>
      <c r="O16" s="1">
        <v>0</v>
      </c>
      <c r="P16" s="1">
        <v>1320.23</v>
      </c>
      <c r="Q16" s="1">
        <v>0</v>
      </c>
      <c r="R16" s="1">
        <v>1320.23</v>
      </c>
      <c r="S16" s="1">
        <v>0</v>
      </c>
    </row>
    <row r="17" spans="2:19" ht="20.100000000000001" customHeight="1" x14ac:dyDescent="0.2">
      <c r="B17" s="97" t="s">
        <v>160</v>
      </c>
      <c r="C17" s="129">
        <v>21</v>
      </c>
      <c r="D17" s="102">
        <v>741.5</v>
      </c>
      <c r="E17" s="102">
        <v>310</v>
      </c>
      <c r="F17" s="102">
        <v>739</v>
      </c>
      <c r="L17" s="1" t="s">
        <v>237</v>
      </c>
      <c r="M17" s="1" t="s">
        <v>238</v>
      </c>
      <c r="N17" s="1">
        <v>0</v>
      </c>
      <c r="O17" s="1">
        <v>0</v>
      </c>
      <c r="P17" s="1">
        <v>5476.66</v>
      </c>
      <c r="Q17" s="1">
        <v>0</v>
      </c>
      <c r="R17" s="1">
        <v>5476.66</v>
      </c>
      <c r="S17" s="1">
        <v>0</v>
      </c>
    </row>
    <row r="18" spans="2:19" ht="20.100000000000001" customHeight="1" x14ac:dyDescent="0.2">
      <c r="B18" s="97" t="s">
        <v>161</v>
      </c>
      <c r="C18" s="120"/>
      <c r="D18" s="102"/>
      <c r="E18" s="102"/>
      <c r="F18" s="102"/>
      <c r="L18" s="1" t="s">
        <v>239</v>
      </c>
      <c r="M18" s="1" t="s">
        <v>240</v>
      </c>
      <c r="N18" s="1">
        <v>0</v>
      </c>
      <c r="O18" s="1">
        <v>0</v>
      </c>
      <c r="P18" s="1">
        <v>21</v>
      </c>
      <c r="Q18" s="1">
        <v>0</v>
      </c>
      <c r="R18" s="1">
        <v>21</v>
      </c>
      <c r="S18" s="1">
        <v>0</v>
      </c>
    </row>
    <row r="19" spans="2:19" ht="20.100000000000001" customHeight="1" x14ac:dyDescent="0.2">
      <c r="B19" s="97" t="s">
        <v>162</v>
      </c>
      <c r="C19" s="129">
        <f>81289+10000</f>
        <v>91289</v>
      </c>
      <c r="D19" s="102">
        <v>407037.96</v>
      </c>
      <c r="E19" s="102">
        <v>263206.61</v>
      </c>
      <c r="F19" s="102">
        <v>195176</v>
      </c>
      <c r="L19" s="1" t="s">
        <v>241</v>
      </c>
      <c r="M19" s="1" t="s">
        <v>242</v>
      </c>
      <c r="N19" s="1">
        <v>0</v>
      </c>
      <c r="O19" s="1">
        <v>0</v>
      </c>
      <c r="P19" s="1">
        <v>13511.68</v>
      </c>
      <c r="Q19" s="1">
        <v>13511.68</v>
      </c>
      <c r="R19" s="1">
        <v>0</v>
      </c>
      <c r="S19" s="1">
        <v>0</v>
      </c>
    </row>
    <row r="20" spans="2:19" ht="20.100000000000001" customHeight="1" x14ac:dyDescent="0.2">
      <c r="B20" s="97" t="s">
        <v>163</v>
      </c>
      <c r="C20" s="120">
        <f>1389.09+2000</f>
        <v>3389.09</v>
      </c>
      <c r="D20" s="102">
        <v>13992.29</v>
      </c>
      <c r="E20" s="102">
        <v>2382.77</v>
      </c>
      <c r="F20" s="102">
        <v>2349.75</v>
      </c>
      <c r="L20" s="1" t="s">
        <v>232</v>
      </c>
      <c r="M20" s="1" t="s">
        <v>233</v>
      </c>
      <c r="N20" s="1">
        <v>0</v>
      </c>
      <c r="O20" s="1">
        <v>0</v>
      </c>
      <c r="P20" s="1">
        <v>1068.4100000000001</v>
      </c>
      <c r="Q20" s="1">
        <v>1068.4100000000001</v>
      </c>
      <c r="R20" s="1">
        <v>0</v>
      </c>
      <c r="S20" s="1">
        <v>0</v>
      </c>
    </row>
    <row r="21" spans="2:19" ht="20.100000000000001" customHeight="1" x14ac:dyDescent="0.2">
      <c r="B21" s="97" t="s">
        <v>164</v>
      </c>
      <c r="C21" s="129">
        <f>4317.39+108.04+1000</f>
        <v>5425.43</v>
      </c>
      <c r="D21" s="102">
        <v>24646.47</v>
      </c>
      <c r="E21" s="102">
        <v>17949.12</v>
      </c>
      <c r="F21" s="102">
        <v>6350.26</v>
      </c>
      <c r="L21" s="1" t="s">
        <v>243</v>
      </c>
      <c r="M21" s="1" t="s">
        <v>234</v>
      </c>
      <c r="N21" s="1">
        <v>0</v>
      </c>
      <c r="O21" s="1">
        <v>0</v>
      </c>
      <c r="P21" s="1">
        <v>4317.3900000000003</v>
      </c>
      <c r="Q21" s="1">
        <v>0</v>
      </c>
      <c r="R21" s="1">
        <v>4317.3900000000003</v>
      </c>
      <c r="S21" s="1">
        <v>0</v>
      </c>
    </row>
    <row r="22" spans="2:19" ht="20.100000000000001" customHeight="1" x14ac:dyDescent="0.2">
      <c r="B22" s="97" t="s">
        <v>165</v>
      </c>
      <c r="C22" s="120">
        <v>57.15</v>
      </c>
      <c r="D22" s="102">
        <v>57.15</v>
      </c>
      <c r="E22" s="102"/>
      <c r="F22" s="102">
        <v>2730</v>
      </c>
    </row>
    <row r="23" spans="2:19" ht="24.95" customHeight="1" x14ac:dyDescent="0.2">
      <c r="B23" s="98" t="s">
        <v>166</v>
      </c>
      <c r="C23" s="99">
        <f>C7-C13</f>
        <v>22986.820000000036</v>
      </c>
      <c r="D23" s="99">
        <f>D7-D13</f>
        <v>-1740672.5200000003</v>
      </c>
      <c r="E23" s="99">
        <f>E7-E13</f>
        <v>-1130107.4500000002</v>
      </c>
      <c r="F23" s="99">
        <f>F7-F13</f>
        <v>-452307.67</v>
      </c>
    </row>
    <row r="24" spans="2:19" ht="24.95" customHeight="1" x14ac:dyDescent="0.2">
      <c r="B24" s="98" t="s">
        <v>167</v>
      </c>
      <c r="C24" s="99">
        <f>SUM(C25:C27)</f>
        <v>2241555.6</v>
      </c>
      <c r="D24" s="99">
        <f>SUM(D25:D27)</f>
        <v>2039373.68</v>
      </c>
      <c r="E24" s="99">
        <f>SUM(E25:E27)</f>
        <v>1239019.31</v>
      </c>
      <c r="F24" s="99">
        <f>SUM(F25:F27)</f>
        <v>495475.58999999997</v>
      </c>
    </row>
    <row r="25" spans="2:19" ht="20.100000000000001" customHeight="1" x14ac:dyDescent="0.2">
      <c r="B25" s="97" t="s">
        <v>168</v>
      </c>
      <c r="C25" s="120"/>
      <c r="D25" s="102"/>
      <c r="E25" s="102">
        <v>2000</v>
      </c>
      <c r="F25" s="102">
        <f>III_RACH_KALK!F21</f>
        <v>0</v>
      </c>
    </row>
    <row r="26" spans="2:19" ht="20.100000000000001" customHeight="1" x14ac:dyDescent="0.2">
      <c r="B26" s="97" t="s">
        <v>169</v>
      </c>
      <c r="C26" s="120"/>
      <c r="D26" s="102">
        <v>1917975.46</v>
      </c>
      <c r="E26" s="102">
        <f>1100650+54588.78+30767</f>
        <v>1186005.78</v>
      </c>
      <c r="F26" s="102">
        <f>87830.5+399255.36</f>
        <v>487085.86</v>
      </c>
    </row>
    <row r="27" spans="2:19" ht="20.100000000000001" customHeight="1" x14ac:dyDescent="0.2">
      <c r="B27" s="97" t="s">
        <v>170</v>
      </c>
      <c r="C27" s="120">
        <f>SUM(C28:C30)</f>
        <v>2241555.6</v>
      </c>
      <c r="D27" s="102">
        <f>22775.47+E60</f>
        <v>121398.21999999987</v>
      </c>
      <c r="E27" s="102">
        <f>7897.5+F60</f>
        <v>51013.529999999984</v>
      </c>
      <c r="F27" s="102">
        <v>8389.73</v>
      </c>
    </row>
    <row r="28" spans="2:19" ht="20.100000000000001" customHeight="1" x14ac:dyDescent="0.2">
      <c r="B28" s="97" t="s">
        <v>219</v>
      </c>
      <c r="C28" s="120">
        <f>1725440+71407.86</f>
        <v>1796847.86</v>
      </c>
      <c r="D28" s="102"/>
      <c r="E28" s="102"/>
      <c r="F28" s="102"/>
    </row>
    <row r="29" spans="2:19" ht="20.100000000000001" customHeight="1" x14ac:dyDescent="0.2">
      <c r="B29" s="97" t="s">
        <v>220</v>
      </c>
      <c r="C29" s="120">
        <v>202181.92</v>
      </c>
      <c r="D29" s="102"/>
      <c r="E29" s="102"/>
      <c r="F29" s="102"/>
    </row>
    <row r="30" spans="2:19" ht="20.100000000000001" customHeight="1" x14ac:dyDescent="0.2">
      <c r="B30" s="97" t="s">
        <v>221</v>
      </c>
      <c r="C30" s="120">
        <f>22775.47+36967.6+84160+98622.75</f>
        <v>242525.82</v>
      </c>
      <c r="D30" s="102"/>
      <c r="E30" s="102"/>
      <c r="F30" s="102"/>
    </row>
    <row r="31" spans="2:19" ht="24.95" customHeight="1" x14ac:dyDescent="0.2">
      <c r="B31" s="98" t="s">
        <v>171</v>
      </c>
      <c r="C31" s="99">
        <f>SUM(C32:C34)</f>
        <v>1985521.42</v>
      </c>
      <c r="D31" s="99">
        <f>SUM(D32:D34)</f>
        <v>19680.16</v>
      </c>
      <c r="E31" s="99">
        <f>SUM(E32:E34)</f>
        <v>10306.42</v>
      </c>
      <c r="F31" s="99">
        <f>SUM(F32:F34)</f>
        <v>44.11</v>
      </c>
    </row>
    <row r="32" spans="2:19" ht="20.100000000000001" customHeight="1" x14ac:dyDescent="0.2">
      <c r="B32" s="97" t="s">
        <v>172</v>
      </c>
      <c r="C32" s="120"/>
      <c r="D32" s="102">
        <f>III_RACH_KALK!D25</f>
        <v>0</v>
      </c>
      <c r="E32" s="102">
        <f>III_RACH_KALK!E25</f>
        <v>0</v>
      </c>
      <c r="F32" s="102">
        <f>III_RACH_KALK!F25</f>
        <v>0</v>
      </c>
    </row>
    <row r="33" spans="2:6" ht="20.100000000000001" customHeight="1" x14ac:dyDescent="0.2">
      <c r="B33" s="97" t="s">
        <v>173</v>
      </c>
      <c r="C33" s="120"/>
      <c r="D33" s="102">
        <f>III_RACH_KALK!D26</f>
        <v>0</v>
      </c>
      <c r="E33" s="102">
        <f>III_RACH_KALK!E26</f>
        <v>0</v>
      </c>
      <c r="F33" s="102">
        <f>III_RACH_KALK!F26</f>
        <v>0</v>
      </c>
    </row>
    <row r="34" spans="2:6" ht="20.100000000000001" customHeight="1" x14ac:dyDescent="0.2">
      <c r="B34" s="97" t="s">
        <v>174</v>
      </c>
      <c r="C34" s="120">
        <f>SUM(C35:C37)</f>
        <v>1985521.42</v>
      </c>
      <c r="D34" s="102">
        <v>19680.16</v>
      </c>
      <c r="E34" s="102">
        <f>671.94+9117.6+516.88</f>
        <v>10306.42</v>
      </c>
      <c r="F34" s="102">
        <v>44.11</v>
      </c>
    </row>
    <row r="35" spans="2:6" ht="20.100000000000001" customHeight="1" x14ac:dyDescent="0.2">
      <c r="B35" s="97" t="s">
        <v>216</v>
      </c>
      <c r="C35" s="120">
        <v>1761647.43</v>
      </c>
      <c r="D35" s="102"/>
      <c r="E35" s="102"/>
      <c r="F35" s="102"/>
    </row>
    <row r="36" spans="2:6" ht="20.100000000000001" customHeight="1" x14ac:dyDescent="0.2">
      <c r="B36" s="97" t="s">
        <v>217</v>
      </c>
      <c r="C36" s="120">
        <v>204193.83</v>
      </c>
      <c r="D36" s="102"/>
      <c r="E36" s="102"/>
      <c r="F36" s="102"/>
    </row>
    <row r="37" spans="2:6" ht="20.100000000000001" customHeight="1" x14ac:dyDescent="0.2">
      <c r="B37" s="97" t="s">
        <v>218</v>
      </c>
      <c r="C37" s="120">
        <v>19680.16</v>
      </c>
      <c r="D37" s="102"/>
      <c r="E37" s="102"/>
      <c r="F37" s="102"/>
    </row>
    <row r="38" spans="2:6" ht="24.95" customHeight="1" x14ac:dyDescent="0.2">
      <c r="B38" s="98" t="s">
        <v>175</v>
      </c>
      <c r="C38" s="103">
        <f>C23+C24-C31</f>
        <v>279021</v>
      </c>
      <c r="D38" s="103">
        <f>D23+D24-D31</f>
        <v>279020.99999999971</v>
      </c>
      <c r="E38" s="103">
        <f>E23+E24-E31</f>
        <v>98605.439999999871</v>
      </c>
      <c r="F38" s="103">
        <f>F23+F24-F31</f>
        <v>43123.809999999983</v>
      </c>
    </row>
    <row r="39" spans="2:6" ht="24.95" customHeight="1" x14ac:dyDescent="0.2">
      <c r="B39" s="98" t="s">
        <v>176</v>
      </c>
      <c r="C39" s="99">
        <f>SUM(C40,C42,C44:C46)</f>
        <v>1414.5</v>
      </c>
      <c r="D39" s="99">
        <f>SUM(D40,D42,D44:D46)</f>
        <v>1414.5</v>
      </c>
      <c r="E39" s="99">
        <f>SUM(E40,E42,E44:E46)</f>
        <v>17.309999999999999</v>
      </c>
      <c r="F39" s="99">
        <f>SUM(F40,F42,F44:F46)</f>
        <v>17.809999999999999</v>
      </c>
    </row>
    <row r="40" spans="2:6" ht="20.100000000000001" customHeight="1" x14ac:dyDescent="0.2">
      <c r="B40" s="97" t="s">
        <v>177</v>
      </c>
      <c r="C40" s="120"/>
      <c r="D40" s="102">
        <f>III_RACH_KALK!D30</f>
        <v>0</v>
      </c>
      <c r="E40" s="102">
        <f>III_RACH_KALK!E30</f>
        <v>0</v>
      </c>
      <c r="F40" s="102">
        <f>III_RACH_KALK!F30</f>
        <v>0</v>
      </c>
    </row>
    <row r="41" spans="2:6" ht="20.100000000000001" customHeight="1" x14ac:dyDescent="0.2">
      <c r="B41" s="100" t="s">
        <v>151</v>
      </c>
      <c r="C41" s="119"/>
      <c r="D41" s="104"/>
      <c r="E41" s="104"/>
      <c r="F41" s="104"/>
    </row>
    <row r="42" spans="2:6" ht="20.100000000000001" customHeight="1" x14ac:dyDescent="0.2">
      <c r="B42" s="97" t="s">
        <v>178</v>
      </c>
      <c r="C42" s="120">
        <v>1414.5</v>
      </c>
      <c r="D42" s="102">
        <v>1414.5</v>
      </c>
      <c r="E42" s="102">
        <v>17.309999999999999</v>
      </c>
      <c r="F42" s="102">
        <v>17.809999999999999</v>
      </c>
    </row>
    <row r="43" spans="2:6" ht="20.100000000000001" customHeight="1" x14ac:dyDescent="0.2">
      <c r="B43" s="100" t="s">
        <v>151</v>
      </c>
      <c r="C43" s="119"/>
      <c r="D43" s="101"/>
      <c r="E43" s="101"/>
      <c r="F43" s="101"/>
    </row>
    <row r="44" spans="2:6" ht="20.100000000000001" customHeight="1" x14ac:dyDescent="0.2">
      <c r="B44" s="97" t="s">
        <v>179</v>
      </c>
      <c r="C44" s="120"/>
      <c r="D44" s="102">
        <f>III_RACH_KALK!D34</f>
        <v>0</v>
      </c>
      <c r="E44" s="102">
        <f>III_RACH_KALK!E34</f>
        <v>0</v>
      </c>
      <c r="F44" s="102">
        <f>III_RACH_KALK!F34</f>
        <v>0</v>
      </c>
    </row>
    <row r="45" spans="2:6" ht="20.100000000000001" customHeight="1" x14ac:dyDescent="0.2">
      <c r="B45" s="97" t="s">
        <v>180</v>
      </c>
      <c r="C45" s="120"/>
      <c r="D45" s="102">
        <f>III_RACH_KALK!D35</f>
        <v>0</v>
      </c>
      <c r="E45" s="102">
        <f>III_RACH_KALK!E35</f>
        <v>0</v>
      </c>
      <c r="F45" s="102">
        <f>III_RACH_KALK!F35</f>
        <v>0</v>
      </c>
    </row>
    <row r="46" spans="2:6" ht="20.100000000000001" customHeight="1" x14ac:dyDescent="0.2">
      <c r="B46" s="97" t="s">
        <v>181</v>
      </c>
      <c r="C46" s="120"/>
      <c r="D46" s="102">
        <f>III_RACH_KALK!D36</f>
        <v>0</v>
      </c>
      <c r="E46" s="102">
        <f>III_RACH_KALK!E36</f>
        <v>0</v>
      </c>
      <c r="F46" s="102">
        <f>III_RACH_KALK!F36</f>
        <v>0</v>
      </c>
    </row>
    <row r="47" spans="2:6" ht="24.95" customHeight="1" x14ac:dyDescent="0.2">
      <c r="B47" s="98" t="s">
        <v>182</v>
      </c>
      <c r="C47" s="99">
        <f>SUM(C48,C50:C52)</f>
        <v>0.08</v>
      </c>
      <c r="D47" s="99">
        <f>SUM(D48,D50:D52)</f>
        <v>0.08</v>
      </c>
      <c r="E47" s="99">
        <f>SUM(E48,E50:E52)</f>
        <v>0</v>
      </c>
      <c r="F47" s="99">
        <f>SUM(F48,F50:F52)</f>
        <v>25.59</v>
      </c>
    </row>
    <row r="48" spans="2:6" ht="20.100000000000001" customHeight="1" x14ac:dyDescent="0.2">
      <c r="B48" s="97" t="s">
        <v>183</v>
      </c>
      <c r="C48" s="120"/>
      <c r="D48" s="102"/>
      <c r="E48" s="102"/>
      <c r="F48" s="102">
        <v>25.59</v>
      </c>
    </row>
    <row r="49" spans="2:9" ht="20.100000000000001" customHeight="1" x14ac:dyDescent="0.2">
      <c r="B49" s="100" t="s">
        <v>184</v>
      </c>
      <c r="C49" s="119"/>
      <c r="D49" s="101"/>
      <c r="E49" s="101"/>
      <c r="F49" s="101"/>
    </row>
    <row r="50" spans="2:9" ht="20.100000000000001" customHeight="1" x14ac:dyDescent="0.2">
      <c r="B50" s="97" t="s">
        <v>185</v>
      </c>
      <c r="C50" s="120"/>
      <c r="D50" s="102">
        <f>III_RACH_KALK!D40</f>
        <v>0</v>
      </c>
      <c r="E50" s="102">
        <f>III_RACH_KALK!E40</f>
        <v>0</v>
      </c>
      <c r="F50" s="102">
        <f>III_RACH_KALK!F40</f>
        <v>0</v>
      </c>
    </row>
    <row r="51" spans="2:9" ht="20.100000000000001" customHeight="1" x14ac:dyDescent="0.2">
      <c r="B51" s="97" t="s">
        <v>186</v>
      </c>
      <c r="C51" s="120"/>
      <c r="D51" s="102"/>
      <c r="E51" s="102"/>
      <c r="F51" s="102"/>
    </row>
    <row r="52" spans="2:9" ht="20.100000000000001" customHeight="1" x14ac:dyDescent="0.2">
      <c r="B52" s="97" t="s">
        <v>187</v>
      </c>
      <c r="C52" s="120">
        <v>0.08</v>
      </c>
      <c r="D52" s="102">
        <v>0.08</v>
      </c>
      <c r="E52" s="102">
        <f>III_RACH_KALK!E42</f>
        <v>0</v>
      </c>
      <c r="F52" s="102">
        <f>III_RACH_KALK!F42</f>
        <v>0</v>
      </c>
    </row>
    <row r="53" spans="2:9" ht="24.95" customHeight="1" x14ac:dyDescent="0.2">
      <c r="B53" s="98" t="s">
        <v>188</v>
      </c>
      <c r="C53" s="103">
        <f>C38+C39-C47</f>
        <v>280435.42</v>
      </c>
      <c r="D53" s="103">
        <f>D38+D39-D47</f>
        <v>280435.41999999969</v>
      </c>
      <c r="E53" s="103">
        <f>E38+E39-E47</f>
        <v>98622.749999999869</v>
      </c>
      <c r="F53" s="103">
        <f>F38+F39-F47</f>
        <v>43116.029999999984</v>
      </c>
    </row>
    <row r="54" spans="2:9" ht="24.95" customHeight="1" x14ac:dyDescent="0.2">
      <c r="B54" s="98" t="s">
        <v>189</v>
      </c>
      <c r="C54" s="118"/>
      <c r="D54" s="99">
        <f>D55-D56</f>
        <v>0</v>
      </c>
      <c r="E54" s="99">
        <f>E55-E56</f>
        <v>0</v>
      </c>
      <c r="F54" s="99">
        <f>F55-F56</f>
        <v>0</v>
      </c>
    </row>
    <row r="55" spans="2:9" ht="20.100000000000001" customHeight="1" x14ac:dyDescent="0.2">
      <c r="B55" s="97" t="s">
        <v>190</v>
      </c>
      <c r="C55" s="120"/>
      <c r="D55" s="102"/>
      <c r="E55" s="102"/>
      <c r="F55" s="102"/>
    </row>
    <row r="56" spans="2:9" ht="20.100000000000001" customHeight="1" x14ac:dyDescent="0.2">
      <c r="B56" s="97" t="s">
        <v>191</v>
      </c>
      <c r="C56" s="120"/>
      <c r="D56" s="102"/>
      <c r="E56" s="102"/>
      <c r="F56" s="102"/>
    </row>
    <row r="57" spans="2:9" ht="24.95" customHeight="1" x14ac:dyDescent="0.2">
      <c r="B57" s="98" t="s">
        <v>192</v>
      </c>
      <c r="C57" s="99">
        <f>C53+C54</f>
        <v>280435.42</v>
      </c>
      <c r="D57" s="99">
        <f>D53+D54</f>
        <v>280435.41999999969</v>
      </c>
      <c r="E57" s="99">
        <f>E53+E54</f>
        <v>98622.749999999869</v>
      </c>
      <c r="F57" s="99">
        <f>F53+F54</f>
        <v>43116.029999999984</v>
      </c>
    </row>
    <row r="58" spans="2:9" ht="24.95" customHeight="1" x14ac:dyDescent="0.2">
      <c r="B58" s="98" t="s">
        <v>193</v>
      </c>
      <c r="C58" s="118"/>
      <c r="D58" s="105"/>
      <c r="E58" s="105"/>
      <c r="F58" s="105"/>
    </row>
    <row r="59" spans="2:9" ht="24.95" customHeight="1" x14ac:dyDescent="0.2">
      <c r="B59" s="106" t="s">
        <v>194</v>
      </c>
      <c r="C59" s="121"/>
      <c r="D59" s="105"/>
      <c r="E59" s="105"/>
      <c r="F59" s="105"/>
    </row>
    <row r="60" spans="2:9" ht="24.95" customHeight="1" x14ac:dyDescent="0.2">
      <c r="B60" s="98" t="s">
        <v>195</v>
      </c>
      <c r="C60" s="99">
        <f>C57-C58-C59</f>
        <v>280435.42</v>
      </c>
      <c r="D60" s="99">
        <f>D57-D58-D59</f>
        <v>280435.41999999969</v>
      </c>
      <c r="E60" s="99">
        <f>E57-E58-E59</f>
        <v>98622.749999999869</v>
      </c>
      <c r="F60" s="99">
        <f>F57-F58-F59</f>
        <v>43116.029999999984</v>
      </c>
      <c r="I60" s="110"/>
    </row>
    <row r="61" spans="2:9" ht="15.75" x14ac:dyDescent="0.2">
      <c r="B61" s="107"/>
      <c r="C61" s="122"/>
      <c r="D61" s="108"/>
      <c r="E61" s="108"/>
      <c r="F61" s="108"/>
    </row>
    <row r="62" spans="2:9" ht="15.75" x14ac:dyDescent="0.2">
      <c r="B62" s="107" t="s">
        <v>214</v>
      </c>
      <c r="C62" s="122"/>
      <c r="D62" s="108"/>
      <c r="E62" s="108"/>
      <c r="F62" s="108"/>
    </row>
    <row r="63" spans="2:9" ht="10.5" customHeight="1" x14ac:dyDescent="0.2">
      <c r="B63" s="107"/>
      <c r="C63" s="122"/>
      <c r="D63" s="107"/>
      <c r="E63" s="107"/>
      <c r="F63" s="107"/>
    </row>
    <row r="64" spans="2:9" ht="15.75" x14ac:dyDescent="0.2">
      <c r="B64" s="112" t="s">
        <v>210</v>
      </c>
      <c r="C64" s="123">
        <f>C60-D60</f>
        <v>0</v>
      </c>
      <c r="D64" s="109"/>
      <c r="E64" s="109"/>
      <c r="F64" s="109"/>
    </row>
    <row r="65" spans="2:6" ht="13.5" x14ac:dyDescent="0.2">
      <c r="B65" s="113" t="s">
        <v>209</v>
      </c>
      <c r="C65" s="124"/>
      <c r="D65" s="29"/>
      <c r="E65" s="29"/>
      <c r="F65" s="29"/>
    </row>
    <row r="66" spans="2:6" x14ac:dyDescent="0.2">
      <c r="B66" s="66"/>
      <c r="C66" s="125"/>
      <c r="D66" s="66"/>
      <c r="E66" s="66"/>
      <c r="F66" s="66"/>
    </row>
    <row r="67" spans="2:6" ht="13.5" x14ac:dyDescent="0.2">
      <c r="B67" s="113"/>
      <c r="C67" s="124"/>
      <c r="D67" s="67"/>
      <c r="E67" s="67"/>
      <c r="F67" s="67"/>
    </row>
    <row r="68" spans="2:6" ht="13.5" x14ac:dyDescent="0.25">
      <c r="B68" s="62"/>
      <c r="C68" s="114"/>
      <c r="D68" s="68"/>
      <c r="E68" s="68"/>
      <c r="F68" s="68"/>
    </row>
    <row r="69" spans="2:6" x14ac:dyDescent="0.2">
      <c r="B69" s="66"/>
      <c r="C69" s="125"/>
      <c r="D69" s="66"/>
      <c r="E69" s="66"/>
      <c r="F69" s="66"/>
    </row>
    <row r="70" spans="2:6" x14ac:dyDescent="0.2">
      <c r="B70" s="66"/>
      <c r="C70" s="125"/>
      <c r="D70" s="66"/>
      <c r="E70" s="66"/>
      <c r="F70" s="66"/>
    </row>
    <row r="71" spans="2:6" x14ac:dyDescent="0.2">
      <c r="B71" s="66"/>
      <c r="C71" s="125"/>
      <c r="D71" s="66"/>
      <c r="E71" s="66"/>
      <c r="F71" s="66"/>
    </row>
    <row r="72" spans="2:6" x14ac:dyDescent="0.2">
      <c r="B72" s="66"/>
      <c r="C72" s="125"/>
      <c r="D72" s="66"/>
      <c r="E72" s="66"/>
      <c r="F72" s="66"/>
    </row>
    <row r="73" spans="2:6" x14ac:dyDescent="0.2">
      <c r="B73" s="66"/>
      <c r="C73" s="125"/>
      <c r="D73" s="66"/>
      <c r="E73" s="66"/>
      <c r="F73" s="66"/>
    </row>
    <row r="74" spans="2:6" x14ac:dyDescent="0.2">
      <c r="B74" s="66"/>
      <c r="C74" s="125"/>
      <c r="D74" s="66"/>
      <c r="E74" s="66"/>
      <c r="F74" s="66"/>
    </row>
    <row r="75" spans="2:6" x14ac:dyDescent="0.2">
      <c r="B75" s="66"/>
      <c r="C75" s="125"/>
      <c r="D75" s="66"/>
      <c r="E75" s="66"/>
      <c r="F75" s="66"/>
    </row>
    <row r="76" spans="2:6" x14ac:dyDescent="0.2">
      <c r="B76" s="66"/>
      <c r="C76" s="125"/>
      <c r="D76" s="66"/>
      <c r="E76" s="66"/>
      <c r="F76" s="66"/>
    </row>
    <row r="77" spans="2:6" x14ac:dyDescent="0.2">
      <c r="B77" s="66"/>
      <c r="C77" s="125"/>
      <c r="D77" s="66"/>
      <c r="E77" s="66"/>
      <c r="F77" s="66"/>
    </row>
    <row r="78" spans="2:6" x14ac:dyDescent="0.2">
      <c r="B78" s="66"/>
      <c r="C78" s="125"/>
      <c r="D78" s="66"/>
      <c r="E78" s="66"/>
      <c r="F78" s="66"/>
    </row>
    <row r="79" spans="2:6" x14ac:dyDescent="0.2">
      <c r="B79" s="66"/>
      <c r="C79" s="125"/>
      <c r="D79" s="66"/>
      <c r="E79" s="66"/>
      <c r="F79" s="66"/>
    </row>
    <row r="80" spans="2:6" x14ac:dyDescent="0.2">
      <c r="B80" s="66"/>
      <c r="C80" s="125"/>
      <c r="D80" s="66"/>
      <c r="E80" s="66"/>
      <c r="F80" s="66"/>
    </row>
    <row r="81" spans="2:6" x14ac:dyDescent="0.2">
      <c r="B81" s="66"/>
      <c r="C81" s="125"/>
      <c r="D81" s="66"/>
      <c r="E81" s="66"/>
      <c r="F81" s="66"/>
    </row>
    <row r="82" spans="2:6" x14ac:dyDescent="0.2">
      <c r="B82" s="66"/>
      <c r="C82" s="125"/>
      <c r="D82" s="66"/>
      <c r="E82" s="66"/>
      <c r="F82" s="66"/>
    </row>
    <row r="83" spans="2:6" x14ac:dyDescent="0.2">
      <c r="B83" s="66"/>
      <c r="C83" s="125"/>
      <c r="D83" s="66"/>
      <c r="E83" s="66"/>
      <c r="F83" s="66"/>
    </row>
    <row r="84" spans="2:6" x14ac:dyDescent="0.2">
      <c r="B84" s="66"/>
      <c r="C84" s="125"/>
      <c r="D84" s="66"/>
      <c r="E84" s="66"/>
      <c r="F84" s="66"/>
    </row>
    <row r="85" spans="2:6" x14ac:dyDescent="0.2">
      <c r="B85" s="66"/>
      <c r="C85" s="125"/>
      <c r="D85" s="66"/>
      <c r="E85" s="66"/>
      <c r="F85" s="66"/>
    </row>
    <row r="86" spans="2:6" x14ac:dyDescent="0.2">
      <c r="B86" s="66"/>
      <c r="C86" s="125"/>
      <c r="D86" s="66"/>
      <c r="E86" s="66"/>
      <c r="F86" s="66"/>
    </row>
    <row r="87" spans="2:6" x14ac:dyDescent="0.2">
      <c r="B87" s="66"/>
      <c r="C87" s="125"/>
      <c r="D87" s="66"/>
      <c r="E87" s="66"/>
      <c r="F87" s="66"/>
    </row>
    <row r="88" spans="2:6" x14ac:dyDescent="0.2">
      <c r="B88" s="66"/>
      <c r="C88" s="125"/>
      <c r="D88" s="66"/>
      <c r="E88" s="66"/>
      <c r="F88" s="66"/>
    </row>
    <row r="89" spans="2:6" x14ac:dyDescent="0.2">
      <c r="B89" s="66"/>
      <c r="C89" s="125"/>
      <c r="D89" s="66"/>
      <c r="E89" s="66"/>
      <c r="F89" s="66"/>
    </row>
    <row r="90" spans="2:6" x14ac:dyDescent="0.2">
      <c r="B90" s="66"/>
      <c r="C90" s="125"/>
      <c r="D90" s="66"/>
      <c r="E90" s="66"/>
      <c r="F90" s="66"/>
    </row>
    <row r="91" spans="2:6" x14ac:dyDescent="0.2">
      <c r="B91" s="66"/>
      <c r="C91" s="125"/>
      <c r="D91" s="66"/>
      <c r="E91" s="66"/>
      <c r="F91" s="66"/>
    </row>
    <row r="92" spans="2:6" x14ac:dyDescent="0.2">
      <c r="B92" s="66"/>
      <c r="C92" s="125"/>
      <c r="D92" s="66"/>
      <c r="E92" s="66"/>
      <c r="F92" s="66"/>
    </row>
    <row r="93" spans="2:6" x14ac:dyDescent="0.2">
      <c r="B93" s="66"/>
      <c r="C93" s="125"/>
      <c r="D93" s="66"/>
      <c r="E93" s="66"/>
      <c r="F93" s="66"/>
    </row>
    <row r="94" spans="2:6" x14ac:dyDescent="0.2">
      <c r="B94" s="66"/>
      <c r="C94" s="125"/>
      <c r="D94" s="66"/>
      <c r="E94" s="66"/>
      <c r="F94" s="66"/>
    </row>
    <row r="95" spans="2:6" x14ac:dyDescent="0.2">
      <c r="B95" s="66"/>
      <c r="C95" s="125"/>
      <c r="D95" s="66"/>
      <c r="E95" s="66"/>
      <c r="F95" s="66"/>
    </row>
    <row r="96" spans="2:6" x14ac:dyDescent="0.2">
      <c r="B96" s="66"/>
      <c r="C96" s="125"/>
      <c r="D96" s="66"/>
      <c r="E96" s="66"/>
      <c r="F96" s="66"/>
    </row>
    <row r="97" spans="2:6" x14ac:dyDescent="0.2">
      <c r="B97" s="66"/>
      <c r="C97" s="125"/>
      <c r="D97" s="66"/>
      <c r="E97" s="66"/>
      <c r="F97" s="66"/>
    </row>
    <row r="98" spans="2:6" x14ac:dyDescent="0.2">
      <c r="B98" s="66"/>
      <c r="C98" s="125"/>
      <c r="D98" s="66"/>
      <c r="E98" s="66"/>
      <c r="F98" s="66"/>
    </row>
    <row r="99" spans="2:6" x14ac:dyDescent="0.2">
      <c r="B99" s="66"/>
      <c r="C99" s="125"/>
      <c r="D99" s="66"/>
      <c r="E99" s="66"/>
      <c r="F99" s="66"/>
    </row>
    <row r="100" spans="2:6" x14ac:dyDescent="0.2">
      <c r="B100" s="66"/>
      <c r="C100" s="125"/>
      <c r="D100" s="66"/>
      <c r="E100" s="66"/>
      <c r="F100" s="66"/>
    </row>
    <row r="101" spans="2:6" x14ac:dyDescent="0.2">
      <c r="B101" s="66"/>
      <c r="C101" s="125"/>
      <c r="D101" s="66"/>
      <c r="E101" s="66"/>
      <c r="F101" s="66"/>
    </row>
    <row r="102" spans="2:6" x14ac:dyDescent="0.2">
      <c r="B102" s="66"/>
      <c r="C102" s="125"/>
      <c r="D102" s="66"/>
      <c r="E102" s="66"/>
      <c r="F102" s="66"/>
    </row>
    <row r="103" spans="2:6" x14ac:dyDescent="0.2">
      <c r="B103" s="66"/>
      <c r="C103" s="125"/>
      <c r="D103" s="66"/>
      <c r="E103" s="66"/>
      <c r="F103" s="66"/>
    </row>
    <row r="104" spans="2:6" x14ac:dyDescent="0.2">
      <c r="B104" s="66"/>
      <c r="C104" s="125"/>
      <c r="D104" s="66"/>
      <c r="E104" s="66"/>
      <c r="F104" s="66"/>
    </row>
    <row r="105" spans="2:6" x14ac:dyDescent="0.2">
      <c r="B105" s="66"/>
      <c r="C105" s="125"/>
      <c r="D105" s="66"/>
      <c r="E105" s="66"/>
      <c r="F105" s="66"/>
    </row>
    <row r="106" spans="2:6" x14ac:dyDescent="0.2">
      <c r="B106" s="66"/>
      <c r="C106" s="125"/>
      <c r="D106" s="66"/>
      <c r="E106" s="66"/>
      <c r="F106" s="66"/>
    </row>
    <row r="107" spans="2:6" x14ac:dyDescent="0.2">
      <c r="B107" s="66"/>
      <c r="C107" s="125"/>
      <c r="D107" s="66"/>
      <c r="E107" s="66"/>
      <c r="F107" s="66"/>
    </row>
    <row r="108" spans="2:6" x14ac:dyDescent="0.2">
      <c r="B108" s="66"/>
      <c r="C108" s="125"/>
      <c r="D108" s="66"/>
      <c r="E108" s="66"/>
      <c r="F108" s="66"/>
    </row>
    <row r="109" spans="2:6" x14ac:dyDescent="0.2">
      <c r="B109" s="66"/>
      <c r="C109" s="125"/>
      <c r="D109" s="66"/>
      <c r="E109" s="66"/>
      <c r="F109" s="66"/>
    </row>
    <row r="110" spans="2:6" x14ac:dyDescent="0.2">
      <c r="B110" s="66"/>
      <c r="C110" s="125"/>
      <c r="D110" s="66"/>
      <c r="E110" s="66"/>
      <c r="F110" s="66"/>
    </row>
    <row r="111" spans="2:6" x14ac:dyDescent="0.2">
      <c r="B111" s="66"/>
      <c r="C111" s="125"/>
      <c r="D111" s="66"/>
      <c r="E111" s="66"/>
      <c r="F111" s="66"/>
    </row>
    <row r="112" spans="2:6" x14ac:dyDescent="0.2">
      <c r="B112" s="66"/>
      <c r="C112" s="125"/>
      <c r="D112" s="66"/>
      <c r="E112" s="66"/>
      <c r="F112" s="66"/>
    </row>
    <row r="113" spans="2:6" x14ac:dyDescent="0.2">
      <c r="B113" s="66"/>
      <c r="C113" s="125"/>
      <c r="D113" s="66"/>
      <c r="E113" s="66"/>
      <c r="F113" s="66"/>
    </row>
    <row r="114" spans="2:6" x14ac:dyDescent="0.2">
      <c r="B114" s="66"/>
      <c r="C114" s="125"/>
      <c r="D114" s="66"/>
      <c r="E114" s="66"/>
      <c r="F114" s="66"/>
    </row>
    <row r="115" spans="2:6" x14ac:dyDescent="0.2">
      <c r="B115" s="66"/>
      <c r="C115" s="125"/>
      <c r="D115" s="66"/>
      <c r="E115" s="66"/>
      <c r="F115" s="66"/>
    </row>
    <row r="116" spans="2:6" x14ac:dyDescent="0.2">
      <c r="B116" s="66"/>
      <c r="C116" s="125"/>
      <c r="D116" s="66"/>
      <c r="E116" s="66"/>
      <c r="F116" s="66"/>
    </row>
    <row r="117" spans="2:6" x14ac:dyDescent="0.2">
      <c r="B117" s="66"/>
      <c r="C117" s="125"/>
      <c r="D117" s="66"/>
      <c r="E117" s="66"/>
      <c r="F117" s="66"/>
    </row>
    <row r="118" spans="2:6" x14ac:dyDescent="0.2">
      <c r="B118" s="66"/>
      <c r="C118" s="125"/>
      <c r="D118" s="66"/>
      <c r="E118" s="66"/>
      <c r="F118" s="66"/>
    </row>
    <row r="119" spans="2:6" x14ac:dyDescent="0.2">
      <c r="B119" s="66"/>
      <c r="C119" s="125"/>
      <c r="D119" s="66"/>
      <c r="E119" s="66"/>
      <c r="F119" s="66"/>
    </row>
    <row r="120" spans="2:6" x14ac:dyDescent="0.2">
      <c r="B120" s="66"/>
      <c r="C120" s="125"/>
      <c r="D120" s="66"/>
      <c r="E120" s="66"/>
      <c r="F120" s="66"/>
    </row>
    <row r="121" spans="2:6" x14ac:dyDescent="0.2">
      <c r="B121" s="66"/>
      <c r="C121" s="125"/>
      <c r="D121" s="66"/>
      <c r="E121" s="66"/>
      <c r="F121" s="66"/>
    </row>
    <row r="122" spans="2:6" x14ac:dyDescent="0.2">
      <c r="B122" s="66"/>
      <c r="C122" s="125"/>
      <c r="D122" s="66"/>
      <c r="E122" s="66"/>
      <c r="F122" s="66"/>
    </row>
    <row r="123" spans="2:6" x14ac:dyDescent="0.2">
      <c r="B123" s="66"/>
      <c r="C123" s="125"/>
      <c r="D123" s="66"/>
      <c r="E123" s="66"/>
      <c r="F123" s="66"/>
    </row>
    <row r="124" spans="2:6" x14ac:dyDescent="0.2">
      <c r="B124" s="66"/>
      <c r="C124" s="125"/>
      <c r="D124" s="66"/>
      <c r="E124" s="66"/>
      <c r="F124" s="66"/>
    </row>
    <row r="125" spans="2:6" x14ac:dyDescent="0.2">
      <c r="B125" s="66"/>
      <c r="C125" s="125"/>
      <c r="D125" s="66"/>
      <c r="E125" s="66"/>
      <c r="F125" s="66"/>
    </row>
    <row r="126" spans="2:6" x14ac:dyDescent="0.2">
      <c r="B126" s="66"/>
      <c r="C126" s="125"/>
      <c r="D126" s="66"/>
      <c r="E126" s="66"/>
      <c r="F126" s="66"/>
    </row>
    <row r="127" spans="2:6" x14ac:dyDescent="0.2">
      <c r="B127" s="66"/>
      <c r="C127" s="125"/>
      <c r="D127" s="66"/>
      <c r="E127" s="66"/>
      <c r="F127" s="66"/>
    </row>
    <row r="128" spans="2:6" x14ac:dyDescent="0.2">
      <c r="B128" s="66"/>
      <c r="C128" s="125"/>
      <c r="D128" s="66"/>
      <c r="E128" s="66"/>
      <c r="F128" s="66"/>
    </row>
    <row r="129" spans="2:6" x14ac:dyDescent="0.2">
      <c r="B129" s="66"/>
      <c r="C129" s="125"/>
      <c r="D129" s="66"/>
      <c r="E129" s="66"/>
      <c r="F129" s="66"/>
    </row>
    <row r="130" spans="2:6" x14ac:dyDescent="0.2">
      <c r="B130" s="66"/>
      <c r="C130" s="125"/>
      <c r="D130" s="66"/>
      <c r="E130" s="66"/>
      <c r="F130" s="66"/>
    </row>
    <row r="131" spans="2:6" x14ac:dyDescent="0.2">
      <c r="B131" s="66"/>
      <c r="C131" s="125"/>
      <c r="D131" s="66"/>
      <c r="E131" s="66"/>
      <c r="F131" s="66"/>
    </row>
    <row r="132" spans="2:6" x14ac:dyDescent="0.2">
      <c r="B132" s="66"/>
      <c r="C132" s="125"/>
      <c r="D132" s="66"/>
      <c r="E132" s="66"/>
      <c r="F132" s="66"/>
    </row>
    <row r="133" spans="2:6" x14ac:dyDescent="0.2">
      <c r="B133" s="66"/>
      <c r="C133" s="125"/>
      <c r="D133" s="66"/>
      <c r="E133" s="66"/>
      <c r="F133" s="66"/>
    </row>
    <row r="134" spans="2:6" x14ac:dyDescent="0.2">
      <c r="B134" s="66"/>
      <c r="C134" s="125"/>
      <c r="D134" s="66"/>
      <c r="E134" s="66"/>
      <c r="F134" s="66"/>
    </row>
    <row r="135" spans="2:6" x14ac:dyDescent="0.2">
      <c r="B135" s="66"/>
      <c r="C135" s="125"/>
      <c r="D135" s="66"/>
      <c r="E135" s="66"/>
      <c r="F135" s="66"/>
    </row>
    <row r="136" spans="2:6" x14ac:dyDescent="0.2">
      <c r="B136" s="66"/>
      <c r="C136" s="125"/>
      <c r="D136" s="66"/>
      <c r="E136" s="66"/>
      <c r="F136" s="66"/>
    </row>
    <row r="137" spans="2:6" x14ac:dyDescent="0.2">
      <c r="B137" s="66"/>
      <c r="C137" s="125"/>
      <c r="D137" s="66"/>
      <c r="E137" s="66"/>
      <c r="F137" s="66"/>
    </row>
    <row r="138" spans="2:6" x14ac:dyDescent="0.2">
      <c r="B138" s="66"/>
      <c r="C138" s="125"/>
      <c r="D138" s="66"/>
      <c r="E138" s="66"/>
      <c r="F138" s="66"/>
    </row>
    <row r="139" spans="2:6" x14ac:dyDescent="0.2">
      <c r="B139" s="66"/>
      <c r="C139" s="125"/>
      <c r="D139" s="66"/>
      <c r="E139" s="66"/>
      <c r="F139" s="66"/>
    </row>
    <row r="140" spans="2:6" x14ac:dyDescent="0.2">
      <c r="B140" s="66"/>
      <c r="C140" s="125"/>
      <c r="D140" s="66"/>
      <c r="E140" s="66"/>
      <c r="F140" s="66"/>
    </row>
    <row r="141" spans="2:6" x14ac:dyDescent="0.2">
      <c r="B141" s="66"/>
      <c r="C141" s="125"/>
      <c r="D141" s="66"/>
      <c r="E141" s="66"/>
      <c r="F141" s="66"/>
    </row>
    <row r="142" spans="2:6" x14ac:dyDescent="0.2">
      <c r="B142" s="66"/>
      <c r="C142" s="125"/>
      <c r="D142" s="66"/>
      <c r="E142" s="66"/>
      <c r="F142" s="66"/>
    </row>
    <row r="143" spans="2:6" x14ac:dyDescent="0.2">
      <c r="B143" s="66"/>
      <c r="C143" s="125"/>
      <c r="D143" s="66"/>
      <c r="E143" s="66"/>
      <c r="F143" s="66"/>
    </row>
    <row r="144" spans="2:6" x14ac:dyDescent="0.2">
      <c r="B144" s="66"/>
      <c r="C144" s="125"/>
      <c r="D144" s="66"/>
      <c r="E144" s="66"/>
      <c r="F144" s="66"/>
    </row>
    <row r="145" spans="2:6" x14ac:dyDescent="0.2">
      <c r="B145" s="66"/>
      <c r="C145" s="125"/>
      <c r="D145" s="66"/>
      <c r="E145" s="66"/>
      <c r="F145" s="66"/>
    </row>
    <row r="146" spans="2:6" x14ac:dyDescent="0.2">
      <c r="B146" s="66"/>
      <c r="C146" s="125"/>
      <c r="D146" s="66"/>
      <c r="E146" s="66"/>
      <c r="F146" s="66"/>
    </row>
    <row r="147" spans="2:6" x14ac:dyDescent="0.2">
      <c r="B147" s="66"/>
      <c r="C147" s="125"/>
      <c r="D147" s="66"/>
      <c r="E147" s="66"/>
      <c r="F147" s="66"/>
    </row>
    <row r="148" spans="2:6" x14ac:dyDescent="0.2">
      <c r="B148" s="66"/>
      <c r="C148" s="125"/>
      <c r="D148" s="66"/>
      <c r="E148" s="66"/>
      <c r="F148" s="66"/>
    </row>
    <row r="149" spans="2:6" x14ac:dyDescent="0.2">
      <c r="B149" s="66"/>
      <c r="C149" s="125"/>
      <c r="D149" s="66"/>
      <c r="E149" s="66"/>
      <c r="F149" s="66"/>
    </row>
    <row r="150" spans="2:6" x14ac:dyDescent="0.2">
      <c r="B150" s="66"/>
      <c r="C150" s="125"/>
      <c r="D150" s="66"/>
      <c r="E150" s="66"/>
      <c r="F150" s="66"/>
    </row>
    <row r="151" spans="2:6" x14ac:dyDescent="0.2">
      <c r="B151" s="66"/>
      <c r="C151" s="125"/>
      <c r="D151" s="66"/>
      <c r="E151" s="66"/>
      <c r="F151" s="66"/>
    </row>
    <row r="152" spans="2:6" x14ac:dyDescent="0.2">
      <c r="B152" s="66"/>
      <c r="C152" s="125"/>
      <c r="D152" s="66"/>
      <c r="E152" s="66"/>
      <c r="F152" s="66"/>
    </row>
    <row r="153" spans="2:6" x14ac:dyDescent="0.2">
      <c r="B153" s="66"/>
      <c r="C153" s="125"/>
      <c r="D153" s="66"/>
      <c r="E153" s="66"/>
      <c r="F153" s="66"/>
    </row>
    <row r="154" spans="2:6" x14ac:dyDescent="0.2">
      <c r="B154" s="66"/>
      <c r="C154" s="125"/>
      <c r="D154" s="66"/>
      <c r="E154" s="66"/>
      <c r="F154" s="66"/>
    </row>
    <row r="155" spans="2:6" x14ac:dyDescent="0.2">
      <c r="B155" s="66"/>
      <c r="C155" s="125"/>
      <c r="D155" s="66"/>
      <c r="E155" s="66"/>
      <c r="F155" s="66"/>
    </row>
    <row r="156" spans="2:6" x14ac:dyDescent="0.2">
      <c r="B156" s="66"/>
      <c r="C156" s="125"/>
      <c r="D156" s="66"/>
      <c r="E156" s="66"/>
      <c r="F156" s="66"/>
    </row>
    <row r="157" spans="2:6" x14ac:dyDescent="0.2">
      <c r="B157" s="66"/>
      <c r="C157" s="125"/>
      <c r="D157" s="66"/>
      <c r="E157" s="66"/>
      <c r="F157" s="66"/>
    </row>
    <row r="158" spans="2:6" x14ac:dyDescent="0.2">
      <c r="B158" s="66"/>
      <c r="C158" s="125"/>
      <c r="D158" s="66"/>
      <c r="E158" s="66"/>
      <c r="F158" s="66"/>
    </row>
    <row r="159" spans="2:6" x14ac:dyDescent="0.2">
      <c r="B159" s="66"/>
      <c r="C159" s="125"/>
      <c r="D159" s="66"/>
      <c r="E159" s="66"/>
      <c r="F159" s="66"/>
    </row>
    <row r="160" spans="2:6" x14ac:dyDescent="0.2">
      <c r="B160" s="66"/>
      <c r="C160" s="125"/>
      <c r="D160" s="66"/>
      <c r="E160" s="66"/>
      <c r="F160" s="66"/>
    </row>
    <row r="161" spans="2:6" x14ac:dyDescent="0.2">
      <c r="B161" s="66"/>
      <c r="C161" s="125"/>
      <c r="D161" s="66"/>
      <c r="E161" s="66"/>
      <c r="F161" s="66"/>
    </row>
    <row r="162" spans="2:6" x14ac:dyDescent="0.2">
      <c r="B162" s="66"/>
      <c r="C162" s="125"/>
      <c r="D162" s="66"/>
      <c r="E162" s="66"/>
      <c r="F162" s="66"/>
    </row>
    <row r="163" spans="2:6" x14ac:dyDescent="0.2">
      <c r="B163" s="66"/>
      <c r="C163" s="125"/>
      <c r="D163" s="66"/>
      <c r="E163" s="66"/>
      <c r="F163" s="66"/>
    </row>
    <row r="164" spans="2:6" x14ac:dyDescent="0.2">
      <c r="B164" s="66"/>
      <c r="C164" s="125"/>
      <c r="D164" s="66"/>
      <c r="E164" s="66"/>
      <c r="F164" s="66"/>
    </row>
    <row r="165" spans="2:6" x14ac:dyDescent="0.2">
      <c r="B165" s="66"/>
      <c r="C165" s="125"/>
      <c r="D165" s="66"/>
      <c r="E165" s="66"/>
      <c r="F165" s="66"/>
    </row>
    <row r="166" spans="2:6" x14ac:dyDescent="0.2">
      <c r="B166" s="66"/>
      <c r="C166" s="125"/>
      <c r="D166" s="66"/>
      <c r="E166" s="66"/>
      <c r="F166" s="66"/>
    </row>
    <row r="167" spans="2:6" x14ac:dyDescent="0.2">
      <c r="B167" s="66"/>
      <c r="C167" s="125"/>
      <c r="D167" s="66"/>
      <c r="E167" s="66"/>
      <c r="F167" s="66"/>
    </row>
    <row r="168" spans="2:6" x14ac:dyDescent="0.2">
      <c r="B168" s="66"/>
      <c r="C168" s="125"/>
      <c r="D168" s="66"/>
      <c r="E168" s="66"/>
      <c r="F168" s="66"/>
    </row>
    <row r="169" spans="2:6" x14ac:dyDescent="0.2">
      <c r="B169" s="66"/>
      <c r="C169" s="125"/>
      <c r="D169" s="66"/>
      <c r="E169" s="66"/>
      <c r="F169" s="66"/>
    </row>
    <row r="170" spans="2:6" x14ac:dyDescent="0.2">
      <c r="B170" s="66"/>
      <c r="C170" s="125"/>
      <c r="D170" s="66"/>
      <c r="E170" s="66"/>
      <c r="F170" s="66"/>
    </row>
    <row r="171" spans="2:6" x14ac:dyDescent="0.2">
      <c r="B171" s="66"/>
      <c r="C171" s="125"/>
      <c r="D171" s="66"/>
      <c r="E171" s="66"/>
      <c r="F171" s="66"/>
    </row>
    <row r="172" spans="2:6" x14ac:dyDescent="0.2">
      <c r="B172" s="66"/>
      <c r="C172" s="125"/>
      <c r="D172" s="66"/>
      <c r="E172" s="66"/>
      <c r="F172" s="66"/>
    </row>
    <row r="173" spans="2:6" x14ac:dyDescent="0.2">
      <c r="B173" s="66"/>
      <c r="C173" s="125"/>
      <c r="D173" s="66"/>
      <c r="E173" s="66"/>
      <c r="F173" s="66"/>
    </row>
    <row r="174" spans="2:6" x14ac:dyDescent="0.2">
      <c r="B174" s="66"/>
      <c r="C174" s="125"/>
      <c r="D174" s="66"/>
      <c r="E174" s="66"/>
      <c r="F174" s="66"/>
    </row>
    <row r="175" spans="2:6" x14ac:dyDescent="0.2">
      <c r="B175" s="66"/>
      <c r="C175" s="125"/>
      <c r="D175" s="66"/>
      <c r="E175" s="66"/>
      <c r="F175" s="66"/>
    </row>
    <row r="176" spans="2:6" x14ac:dyDescent="0.2">
      <c r="B176" s="66"/>
      <c r="C176" s="125"/>
      <c r="D176" s="66"/>
      <c r="E176" s="66"/>
      <c r="F176" s="66"/>
    </row>
    <row r="177" spans="2:6" x14ac:dyDescent="0.2">
      <c r="B177" s="66"/>
      <c r="C177" s="125"/>
      <c r="D177" s="66"/>
      <c r="E177" s="66"/>
      <c r="F177" s="66"/>
    </row>
    <row r="178" spans="2:6" x14ac:dyDescent="0.2">
      <c r="B178" s="66"/>
      <c r="C178" s="125"/>
      <c r="D178" s="66"/>
      <c r="E178" s="66"/>
      <c r="F178" s="66"/>
    </row>
    <row r="179" spans="2:6" x14ac:dyDescent="0.2">
      <c r="B179" s="66"/>
      <c r="C179" s="125"/>
      <c r="D179" s="66"/>
      <c r="E179" s="66"/>
      <c r="F179" s="66"/>
    </row>
    <row r="180" spans="2:6" x14ac:dyDescent="0.2">
      <c r="B180" s="66"/>
      <c r="C180" s="125"/>
      <c r="D180" s="66"/>
      <c r="E180" s="66"/>
      <c r="F180" s="66"/>
    </row>
    <row r="181" spans="2:6" x14ac:dyDescent="0.2">
      <c r="B181" s="66"/>
      <c r="C181" s="125"/>
      <c r="D181" s="66"/>
      <c r="E181" s="66"/>
      <c r="F181" s="66"/>
    </row>
    <row r="182" spans="2:6" x14ac:dyDescent="0.2">
      <c r="B182" s="66"/>
      <c r="C182" s="125"/>
      <c r="D182" s="66"/>
      <c r="E182" s="66"/>
      <c r="F182" s="66"/>
    </row>
    <row r="183" spans="2:6" x14ac:dyDescent="0.2">
      <c r="B183" s="66"/>
      <c r="C183" s="125"/>
      <c r="D183" s="66"/>
      <c r="E183" s="66"/>
      <c r="F183" s="66"/>
    </row>
    <row r="184" spans="2:6" x14ac:dyDescent="0.2">
      <c r="B184" s="66"/>
      <c r="C184" s="125"/>
      <c r="D184" s="66"/>
      <c r="E184" s="66"/>
      <c r="F184" s="66"/>
    </row>
    <row r="185" spans="2:6" x14ac:dyDescent="0.2">
      <c r="B185" s="66"/>
      <c r="C185" s="125"/>
      <c r="D185" s="66"/>
      <c r="E185" s="66"/>
      <c r="F185" s="66"/>
    </row>
    <row r="186" spans="2:6" x14ac:dyDescent="0.2">
      <c r="B186" s="66"/>
      <c r="C186" s="125"/>
      <c r="D186" s="66"/>
      <c r="E186" s="66"/>
      <c r="F186" s="66"/>
    </row>
    <row r="187" spans="2:6" x14ac:dyDescent="0.2">
      <c r="B187" s="66"/>
      <c r="C187" s="125"/>
      <c r="D187" s="66"/>
      <c r="E187" s="66"/>
      <c r="F187" s="66"/>
    </row>
    <row r="188" spans="2:6" x14ac:dyDescent="0.2">
      <c r="B188" s="66"/>
      <c r="C188" s="125"/>
      <c r="D188" s="66"/>
      <c r="E188" s="66"/>
      <c r="F188" s="66"/>
    </row>
    <row r="189" spans="2:6" x14ac:dyDescent="0.2">
      <c r="B189" s="66"/>
      <c r="C189" s="125"/>
      <c r="D189" s="66"/>
      <c r="E189" s="66"/>
      <c r="F189" s="66"/>
    </row>
    <row r="190" spans="2:6" x14ac:dyDescent="0.2">
      <c r="B190" s="66"/>
      <c r="C190" s="125"/>
      <c r="D190" s="66"/>
      <c r="E190" s="66"/>
      <c r="F190" s="66"/>
    </row>
    <row r="191" spans="2:6" x14ac:dyDescent="0.2">
      <c r="B191" s="66"/>
      <c r="C191" s="125"/>
      <c r="D191" s="66"/>
      <c r="E191" s="66"/>
      <c r="F191" s="66"/>
    </row>
    <row r="192" spans="2:6" x14ac:dyDescent="0.2">
      <c r="B192" s="66"/>
      <c r="C192" s="125"/>
      <c r="D192" s="66"/>
      <c r="E192" s="66"/>
      <c r="F192" s="66"/>
    </row>
    <row r="193" spans="2:6" x14ac:dyDescent="0.2">
      <c r="B193" s="66"/>
      <c r="C193" s="125"/>
      <c r="D193" s="66"/>
      <c r="E193" s="66"/>
      <c r="F193" s="66"/>
    </row>
    <row r="194" spans="2:6" x14ac:dyDescent="0.2">
      <c r="B194" s="66"/>
      <c r="C194" s="125"/>
      <c r="D194" s="66"/>
      <c r="E194" s="66"/>
      <c r="F194" s="66"/>
    </row>
    <row r="195" spans="2:6" x14ac:dyDescent="0.2">
      <c r="B195" s="66"/>
      <c r="C195" s="125"/>
      <c r="D195" s="66"/>
      <c r="E195" s="66"/>
      <c r="F195" s="66"/>
    </row>
    <row r="196" spans="2:6" x14ac:dyDescent="0.2">
      <c r="B196" s="66"/>
      <c r="C196" s="125"/>
      <c r="D196" s="66"/>
      <c r="E196" s="66"/>
      <c r="F196" s="66"/>
    </row>
  </sheetData>
  <mergeCells count="2">
    <mergeCell ref="B5:F5"/>
    <mergeCell ref="B3:H3"/>
  </mergeCells>
  <printOptions horizontalCentered="1"/>
  <pageMargins left="0.19685039370078741" right="0" top="0.39370078740157483" bottom="0.94488188976377963" header="0.51181102362204722" footer="0.47244094488188981"/>
  <pageSetup paperSize="9" scale="61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L65"/>
  <sheetViews>
    <sheetView topLeftCell="A16" workbookViewId="0">
      <selection activeCell="F11" sqref="F11"/>
    </sheetView>
  </sheetViews>
  <sheetFormatPr defaultRowHeight="12.75" x14ac:dyDescent="0.2"/>
  <cols>
    <col min="1" max="1" width="6.42578125" style="41" customWidth="1"/>
    <col min="2" max="2" width="15.28515625" style="41" customWidth="1"/>
    <col min="3" max="3" width="28.42578125" style="41" customWidth="1"/>
    <col min="4" max="4" width="19.85546875" style="41" customWidth="1"/>
    <col min="5" max="5" width="20.5703125" style="41" customWidth="1"/>
    <col min="6" max="6" width="18.85546875" style="41" customWidth="1"/>
    <col min="7" max="7" width="3.7109375" style="41" customWidth="1"/>
    <col min="8" max="11" width="9.140625" style="41"/>
    <col min="12" max="12" width="12.7109375" style="41" bestFit="1" customWidth="1"/>
    <col min="13" max="16384" width="9.140625" style="41"/>
  </cols>
  <sheetData>
    <row r="1" spans="1:10" ht="15.75" customHeight="1" x14ac:dyDescent="0.2">
      <c r="B1" s="157" t="s">
        <v>201</v>
      </c>
      <c r="C1" s="157"/>
      <c r="D1" s="42"/>
      <c r="E1" s="43"/>
      <c r="F1" s="43"/>
    </row>
    <row r="2" spans="1:10" ht="15.75" customHeight="1" x14ac:dyDescent="0.2">
      <c r="B2" s="157" t="s">
        <v>202</v>
      </c>
      <c r="C2" s="157"/>
      <c r="D2" s="42"/>
      <c r="E2" s="43"/>
      <c r="F2" s="43"/>
    </row>
    <row r="3" spans="1:10" ht="15.75" customHeight="1" x14ac:dyDescent="0.2">
      <c r="B3" s="147" t="s">
        <v>203</v>
      </c>
      <c r="C3" s="147"/>
      <c r="D3" s="147"/>
      <c r="E3" s="96"/>
      <c r="F3" s="96"/>
    </row>
    <row r="4" spans="1:10" ht="7.5" customHeight="1" x14ac:dyDescent="0.2">
      <c r="B4" s="44"/>
      <c r="C4" s="44"/>
      <c r="D4" s="44"/>
      <c r="E4" s="43"/>
      <c r="F4" s="43"/>
    </row>
    <row r="5" spans="1:10" ht="23.25" customHeight="1" x14ac:dyDescent="0.2">
      <c r="B5" s="156" t="s">
        <v>199</v>
      </c>
      <c r="C5" s="156"/>
      <c r="D5" s="156"/>
      <c r="E5" s="156"/>
      <c r="F5" s="156"/>
    </row>
    <row r="6" spans="1:10" ht="16.5" customHeight="1" x14ac:dyDescent="0.2">
      <c r="B6" s="45"/>
      <c r="C6" s="45"/>
      <c r="D6" s="45"/>
      <c r="E6" s="46"/>
      <c r="F6" s="46"/>
    </row>
    <row r="7" spans="1:10" ht="30.75" customHeight="1" x14ac:dyDescent="0.2">
      <c r="A7" s="47"/>
      <c r="B7" s="158" t="s">
        <v>105</v>
      </c>
      <c r="C7" s="158"/>
      <c r="D7" s="158"/>
      <c r="E7" s="5" t="s">
        <v>204</v>
      </c>
      <c r="F7" s="5" t="s">
        <v>205</v>
      </c>
    </row>
    <row r="8" spans="1:10" ht="21.75" customHeight="1" x14ac:dyDescent="0.2">
      <c r="B8" s="159" t="s">
        <v>106</v>
      </c>
      <c r="C8" s="159"/>
      <c r="D8" s="159"/>
      <c r="E8" s="49">
        <f>SUM(E10:E11)</f>
        <v>0</v>
      </c>
      <c r="F8" s="49">
        <f>SUM(F10:F11)</f>
        <v>0</v>
      </c>
    </row>
    <row r="9" spans="1:10" ht="21.75" customHeight="1" x14ac:dyDescent="0.2">
      <c r="A9" s="47"/>
      <c r="B9" s="160" t="s">
        <v>107</v>
      </c>
      <c r="C9" s="160"/>
      <c r="D9" s="160"/>
      <c r="E9" s="50"/>
      <c r="F9" s="50"/>
    </row>
    <row r="10" spans="1:10" ht="21.75" customHeight="1" x14ac:dyDescent="0.2">
      <c r="A10" s="47"/>
      <c r="B10" s="161" t="s">
        <v>108</v>
      </c>
      <c r="C10" s="161"/>
      <c r="D10" s="161"/>
      <c r="E10" s="51"/>
      <c r="F10" s="51"/>
    </row>
    <row r="11" spans="1:10" ht="21.75" customHeight="1" x14ac:dyDescent="0.2">
      <c r="A11" s="47"/>
      <c r="B11" s="161" t="s">
        <v>109</v>
      </c>
      <c r="C11" s="161"/>
      <c r="D11" s="161"/>
      <c r="E11" s="51"/>
      <c r="F11" s="51"/>
    </row>
    <row r="12" spans="1:10" ht="21.75" customHeight="1" x14ac:dyDescent="0.2">
      <c r="B12" s="159" t="s">
        <v>110</v>
      </c>
      <c r="C12" s="159"/>
      <c r="D12" s="159"/>
      <c r="E12" s="49">
        <f>SUM(E14:E15)</f>
        <v>0</v>
      </c>
      <c r="F12" s="49">
        <f>SUM(F14:F15)</f>
        <v>0</v>
      </c>
      <c r="J12" s="41" t="s">
        <v>196</v>
      </c>
    </row>
    <row r="13" spans="1:10" ht="21.75" customHeight="1" x14ac:dyDescent="0.2">
      <c r="A13" s="47"/>
      <c r="B13" s="160" t="s">
        <v>111</v>
      </c>
      <c r="C13" s="160"/>
      <c r="D13" s="160"/>
      <c r="E13" s="52"/>
      <c r="F13" s="52"/>
    </row>
    <row r="14" spans="1:10" ht="21.75" customHeight="1" x14ac:dyDescent="0.2">
      <c r="A14" s="47"/>
      <c r="B14" s="161" t="s">
        <v>112</v>
      </c>
      <c r="C14" s="161"/>
      <c r="D14" s="161"/>
      <c r="E14" s="51"/>
      <c r="F14" s="51"/>
    </row>
    <row r="15" spans="1:10" ht="21.75" customHeight="1" x14ac:dyDescent="0.2">
      <c r="A15" s="47"/>
      <c r="B15" s="161" t="s">
        <v>113</v>
      </c>
      <c r="C15" s="161"/>
      <c r="D15" s="161"/>
      <c r="E15" s="51"/>
      <c r="F15" s="51"/>
    </row>
    <row r="16" spans="1:10" ht="21.75" customHeight="1" x14ac:dyDescent="0.2">
      <c r="B16" s="159" t="s">
        <v>114</v>
      </c>
      <c r="C16" s="159"/>
      <c r="D16" s="159"/>
      <c r="E16" s="49">
        <f>E8-E12</f>
        <v>0</v>
      </c>
      <c r="F16" s="49">
        <f>F8-F12</f>
        <v>0</v>
      </c>
    </row>
    <row r="17" spans="1:6" ht="21.75" customHeight="1" x14ac:dyDescent="0.2">
      <c r="B17" s="159" t="s">
        <v>115</v>
      </c>
      <c r="C17" s="159"/>
      <c r="D17" s="159"/>
      <c r="E17" s="51"/>
      <c r="F17" s="51"/>
    </row>
    <row r="18" spans="1:6" ht="21.75" customHeight="1" x14ac:dyDescent="0.2">
      <c r="B18" s="159" t="s">
        <v>116</v>
      </c>
      <c r="C18" s="159"/>
      <c r="D18" s="159"/>
      <c r="E18" s="51"/>
      <c r="F18" s="51"/>
    </row>
    <row r="19" spans="1:6" ht="21.75" customHeight="1" x14ac:dyDescent="0.2">
      <c r="B19" s="159" t="s">
        <v>117</v>
      </c>
      <c r="C19" s="159"/>
      <c r="D19" s="159"/>
      <c r="E19" s="49">
        <f>E16-E17-E18</f>
        <v>0</v>
      </c>
      <c r="F19" s="49">
        <f>F16-F17-F18</f>
        <v>0</v>
      </c>
    </row>
    <row r="20" spans="1:6" ht="21.75" customHeight="1" x14ac:dyDescent="0.2">
      <c r="B20" s="159" t="s">
        <v>118</v>
      </c>
      <c r="C20" s="159"/>
      <c r="D20" s="159"/>
      <c r="E20" s="49">
        <f>SUM(E21:E23)</f>
        <v>0</v>
      </c>
      <c r="F20" s="49">
        <f>SUM(F21:F23)</f>
        <v>0</v>
      </c>
    </row>
    <row r="21" spans="1:6" ht="21.75" customHeight="1" x14ac:dyDescent="0.2">
      <c r="A21" s="47"/>
      <c r="B21" s="161" t="s">
        <v>119</v>
      </c>
      <c r="C21" s="161"/>
      <c r="D21" s="161"/>
      <c r="E21" s="51"/>
      <c r="F21" s="51"/>
    </row>
    <row r="22" spans="1:6" ht="21.75" customHeight="1" x14ac:dyDescent="0.2">
      <c r="A22" s="47"/>
      <c r="B22" s="161" t="s">
        <v>120</v>
      </c>
      <c r="C22" s="161"/>
      <c r="D22" s="161"/>
      <c r="E22" s="51"/>
      <c r="F22" s="51"/>
    </row>
    <row r="23" spans="1:6" ht="21.75" customHeight="1" x14ac:dyDescent="0.2">
      <c r="A23" s="47"/>
      <c r="B23" s="161" t="s">
        <v>121</v>
      </c>
      <c r="C23" s="161"/>
      <c r="D23" s="161"/>
      <c r="E23" s="51"/>
      <c r="F23" s="51"/>
    </row>
    <row r="24" spans="1:6" ht="21.75" customHeight="1" x14ac:dyDescent="0.2">
      <c r="B24" s="159" t="s">
        <v>122</v>
      </c>
      <c r="C24" s="159"/>
      <c r="D24" s="159"/>
      <c r="E24" s="49">
        <f>SUM(E25:E27)</f>
        <v>0</v>
      </c>
      <c r="F24" s="49">
        <f>SUM(F25:F27)</f>
        <v>0</v>
      </c>
    </row>
    <row r="25" spans="1:6" ht="21.75" customHeight="1" x14ac:dyDescent="0.2">
      <c r="A25" s="47"/>
      <c r="B25" s="161" t="s">
        <v>123</v>
      </c>
      <c r="C25" s="161"/>
      <c r="D25" s="161"/>
      <c r="E25" s="51"/>
      <c r="F25" s="51"/>
    </row>
    <row r="26" spans="1:6" ht="21.75" customHeight="1" x14ac:dyDescent="0.2">
      <c r="A26" s="47"/>
      <c r="B26" s="161" t="s">
        <v>124</v>
      </c>
      <c r="C26" s="161"/>
      <c r="D26" s="161"/>
      <c r="E26" s="51"/>
      <c r="F26" s="51"/>
    </row>
    <row r="27" spans="1:6" ht="21.75" customHeight="1" x14ac:dyDescent="0.2">
      <c r="A27" s="47"/>
      <c r="B27" s="161" t="s">
        <v>125</v>
      </c>
      <c r="C27" s="161"/>
      <c r="D27" s="161"/>
      <c r="E27" s="51"/>
      <c r="F27" s="51"/>
    </row>
    <row r="28" spans="1:6" ht="21.75" customHeight="1" x14ac:dyDescent="0.2">
      <c r="B28" s="159" t="s">
        <v>126</v>
      </c>
      <c r="C28" s="159"/>
      <c r="D28" s="159"/>
      <c r="E28" s="49">
        <f>E19+E20-E24</f>
        <v>0</v>
      </c>
      <c r="F28" s="49">
        <f>F19+F20-F24</f>
        <v>0</v>
      </c>
    </row>
    <row r="29" spans="1:6" ht="21.75" customHeight="1" x14ac:dyDescent="0.2">
      <c r="B29" s="159" t="s">
        <v>127</v>
      </c>
      <c r="C29" s="159"/>
      <c r="D29" s="159"/>
      <c r="E29" s="49">
        <f>SUM(E30,E32,E34:E36)</f>
        <v>0</v>
      </c>
      <c r="F29" s="49">
        <f>SUM(F30,F32,F34:F36)</f>
        <v>0</v>
      </c>
    </row>
    <row r="30" spans="1:6" ht="21.75" customHeight="1" x14ac:dyDescent="0.2">
      <c r="A30" s="47"/>
      <c r="B30" s="161" t="s">
        <v>128</v>
      </c>
      <c r="C30" s="161"/>
      <c r="D30" s="161"/>
      <c r="E30" s="51"/>
      <c r="F30" s="51"/>
    </row>
    <row r="31" spans="1:6" ht="21.75" customHeight="1" x14ac:dyDescent="0.2">
      <c r="A31" s="47"/>
      <c r="B31" s="160" t="s">
        <v>129</v>
      </c>
      <c r="C31" s="160"/>
      <c r="D31" s="160"/>
      <c r="E31" s="52"/>
      <c r="F31" s="52"/>
    </row>
    <row r="32" spans="1:6" ht="21.75" customHeight="1" x14ac:dyDescent="0.2">
      <c r="A32" s="47"/>
      <c r="B32" s="161" t="s">
        <v>130</v>
      </c>
      <c r="C32" s="161"/>
      <c r="D32" s="161"/>
      <c r="E32" s="51"/>
      <c r="F32" s="51"/>
    </row>
    <row r="33" spans="1:6" ht="21.75" customHeight="1" x14ac:dyDescent="0.2">
      <c r="A33" s="47"/>
      <c r="B33" s="160" t="s">
        <v>129</v>
      </c>
      <c r="C33" s="160"/>
      <c r="D33" s="160"/>
      <c r="E33" s="52"/>
      <c r="F33" s="52"/>
    </row>
    <row r="34" spans="1:6" ht="21.75" customHeight="1" x14ac:dyDescent="0.2">
      <c r="A34" s="47"/>
      <c r="B34" s="161" t="s">
        <v>131</v>
      </c>
      <c r="C34" s="161"/>
      <c r="D34" s="161"/>
      <c r="E34" s="51"/>
      <c r="F34" s="51"/>
    </row>
    <row r="35" spans="1:6" ht="21.75" customHeight="1" x14ac:dyDescent="0.2">
      <c r="A35" s="47"/>
      <c r="B35" s="161" t="s">
        <v>132</v>
      </c>
      <c r="C35" s="161"/>
      <c r="D35" s="161"/>
      <c r="E35" s="51"/>
      <c r="F35" s="51"/>
    </row>
    <row r="36" spans="1:6" ht="21.75" customHeight="1" x14ac:dyDescent="0.2">
      <c r="A36" s="47"/>
      <c r="B36" s="161" t="s">
        <v>133</v>
      </c>
      <c r="C36" s="161"/>
      <c r="D36" s="161"/>
      <c r="E36" s="51"/>
      <c r="F36" s="51"/>
    </row>
    <row r="37" spans="1:6" ht="21.75" customHeight="1" x14ac:dyDescent="0.2">
      <c r="B37" s="159" t="s">
        <v>134</v>
      </c>
      <c r="C37" s="159"/>
      <c r="D37" s="159"/>
      <c r="E37" s="49">
        <f>SUM(E38,E40:E42)</f>
        <v>0</v>
      </c>
      <c r="F37" s="49">
        <f>SUM(F38,F40:F42)</f>
        <v>0</v>
      </c>
    </row>
    <row r="38" spans="1:6" ht="21.75" customHeight="1" x14ac:dyDescent="0.2">
      <c r="A38" s="47"/>
      <c r="B38" s="161" t="s">
        <v>135</v>
      </c>
      <c r="C38" s="161"/>
      <c r="D38" s="161"/>
      <c r="E38" s="51"/>
      <c r="F38" s="51"/>
    </row>
    <row r="39" spans="1:6" ht="21.75" customHeight="1" x14ac:dyDescent="0.2">
      <c r="A39" s="47"/>
      <c r="B39" s="160" t="s">
        <v>136</v>
      </c>
      <c r="C39" s="160"/>
      <c r="D39" s="160"/>
      <c r="E39" s="52"/>
      <c r="F39" s="52"/>
    </row>
    <row r="40" spans="1:6" ht="21.75" customHeight="1" x14ac:dyDescent="0.2">
      <c r="A40" s="47"/>
      <c r="B40" s="162" t="s">
        <v>137</v>
      </c>
      <c r="C40" s="162"/>
      <c r="D40" s="162"/>
      <c r="E40" s="51"/>
      <c r="F40" s="51"/>
    </row>
    <row r="41" spans="1:6" ht="21.75" customHeight="1" x14ac:dyDescent="0.2">
      <c r="A41" s="47"/>
      <c r="B41" s="162" t="s">
        <v>138</v>
      </c>
      <c r="C41" s="162"/>
      <c r="D41" s="162"/>
      <c r="E41" s="51"/>
      <c r="F41" s="51"/>
    </row>
    <row r="42" spans="1:6" ht="21.75" customHeight="1" x14ac:dyDescent="0.2">
      <c r="A42" s="47"/>
      <c r="B42" s="162" t="s">
        <v>139</v>
      </c>
      <c r="C42" s="162"/>
      <c r="D42" s="162"/>
      <c r="E42" s="51"/>
      <c r="F42" s="51"/>
    </row>
    <row r="43" spans="1:6" ht="21.75" customHeight="1" x14ac:dyDescent="0.2">
      <c r="B43" s="159" t="s">
        <v>140</v>
      </c>
      <c r="C43" s="159"/>
      <c r="D43" s="159"/>
      <c r="E43" s="49">
        <f>E28+E29-E37</f>
        <v>0</v>
      </c>
      <c r="F43" s="49">
        <f>F28+F29-F37</f>
        <v>0</v>
      </c>
    </row>
    <row r="44" spans="1:6" ht="21.75" customHeight="1" x14ac:dyDescent="0.2">
      <c r="B44" s="159" t="s">
        <v>141</v>
      </c>
      <c r="C44" s="159"/>
      <c r="D44" s="159"/>
      <c r="E44" s="49">
        <f>E45-E46</f>
        <v>0</v>
      </c>
      <c r="F44" s="49">
        <f>F45-F46</f>
        <v>0</v>
      </c>
    </row>
    <row r="45" spans="1:6" ht="21.75" customHeight="1" x14ac:dyDescent="0.2">
      <c r="A45" s="47"/>
      <c r="B45" s="161" t="s">
        <v>142</v>
      </c>
      <c r="C45" s="161"/>
      <c r="D45" s="161"/>
      <c r="E45" s="53"/>
      <c r="F45" s="53"/>
    </row>
    <row r="46" spans="1:6" ht="21.75" customHeight="1" x14ac:dyDescent="0.2">
      <c r="A46" s="47"/>
      <c r="B46" s="161" t="s">
        <v>143</v>
      </c>
      <c r="C46" s="161"/>
      <c r="D46" s="161"/>
      <c r="E46" s="53"/>
      <c r="F46" s="53"/>
    </row>
    <row r="47" spans="1:6" ht="21.75" customHeight="1" x14ac:dyDescent="0.2">
      <c r="B47" s="159" t="s">
        <v>144</v>
      </c>
      <c r="C47" s="159"/>
      <c r="D47" s="159"/>
      <c r="E47" s="49">
        <f>SUM(E43:E44)</f>
        <v>0</v>
      </c>
      <c r="F47" s="49">
        <f>SUM(F43:F44)</f>
        <v>0</v>
      </c>
    </row>
    <row r="48" spans="1:6" ht="21.75" customHeight="1" x14ac:dyDescent="0.2">
      <c r="B48" s="159" t="s">
        <v>145</v>
      </c>
      <c r="C48" s="159"/>
      <c r="D48" s="159"/>
      <c r="E48" s="54"/>
      <c r="F48" s="54"/>
    </row>
    <row r="49" spans="1:12" ht="21.75" customHeight="1" x14ac:dyDescent="0.2">
      <c r="B49" s="159" t="s">
        <v>146</v>
      </c>
      <c r="C49" s="159"/>
      <c r="D49" s="159"/>
      <c r="E49" s="54"/>
      <c r="F49" s="54"/>
    </row>
    <row r="50" spans="1:12" ht="21.75" customHeight="1" x14ac:dyDescent="0.2">
      <c r="B50" s="159" t="s">
        <v>147</v>
      </c>
      <c r="C50" s="159"/>
      <c r="D50" s="159"/>
      <c r="E50" s="49">
        <f>E47-E48-E49</f>
        <v>0</v>
      </c>
      <c r="F50" s="49">
        <f>F47-F48-F49</f>
        <v>0</v>
      </c>
      <c r="L50" s="93"/>
    </row>
    <row r="51" spans="1:12" x14ac:dyDescent="0.2">
      <c r="A51" s="47"/>
      <c r="E51" s="55"/>
      <c r="F51" s="55"/>
    </row>
    <row r="52" spans="1:12" ht="90" customHeight="1" x14ac:dyDescent="0.2">
      <c r="A52" s="47"/>
      <c r="B52" s="56">
        <f>II_BIL!A89</f>
        <v>0</v>
      </c>
      <c r="C52" s="56" t="s">
        <v>148</v>
      </c>
      <c r="D52" s="56">
        <f>II_BIL!I89</f>
        <v>0</v>
      </c>
      <c r="E52" s="56"/>
      <c r="F52" s="56"/>
    </row>
    <row r="53" spans="1:12" ht="26.25" customHeight="1" x14ac:dyDescent="0.2">
      <c r="A53" s="47"/>
      <c r="B53" s="57">
        <f>II_BIL!A90</f>
        <v>0</v>
      </c>
      <c r="C53" s="58"/>
      <c r="D53" s="57">
        <f>II_BIL!I90</f>
        <v>0</v>
      </c>
      <c r="E53" s="57"/>
      <c r="F53" s="57"/>
    </row>
    <row r="54" spans="1:12" ht="69.75" customHeight="1" x14ac:dyDescent="0.2">
      <c r="A54" s="47"/>
      <c r="B54" s="56"/>
      <c r="C54" s="58"/>
      <c r="D54" s="56"/>
      <c r="E54" s="56"/>
      <c r="F54" s="56"/>
    </row>
    <row r="55" spans="1:12" ht="18" customHeight="1" x14ac:dyDescent="0.2">
      <c r="A55" s="47"/>
      <c r="B55" s="56"/>
      <c r="C55" s="58"/>
      <c r="D55" s="57"/>
      <c r="E55" s="57"/>
      <c r="F55" s="57"/>
    </row>
    <row r="56" spans="1:12" ht="67.5" customHeight="1" x14ac:dyDescent="0.2">
      <c r="A56" s="47"/>
      <c r="B56" s="56"/>
      <c r="C56" s="58"/>
      <c r="D56" s="56"/>
      <c r="E56" s="56"/>
      <c r="F56" s="56"/>
    </row>
    <row r="57" spans="1:12" ht="17.25" customHeight="1" x14ac:dyDescent="0.2">
      <c r="A57" s="47"/>
      <c r="B57" s="56"/>
      <c r="C57" s="58"/>
      <c r="D57" s="57"/>
      <c r="E57" s="57"/>
      <c r="F57" s="57"/>
    </row>
    <row r="58" spans="1:12" ht="15" customHeight="1" x14ac:dyDescent="0.2">
      <c r="B58" s="59"/>
      <c r="C58" s="59"/>
      <c r="D58" s="56"/>
      <c r="E58" s="56"/>
      <c r="F58" s="56"/>
    </row>
    <row r="59" spans="1:12" ht="14.25" customHeight="1" x14ac:dyDescent="0.2">
      <c r="B59" s="60"/>
      <c r="C59" s="61"/>
      <c r="D59" s="57"/>
      <c r="E59" s="57"/>
      <c r="F59" s="57"/>
    </row>
    <row r="60" spans="1:12" ht="45" customHeight="1" x14ac:dyDescent="0.25">
      <c r="B60" s="62"/>
      <c r="C60" s="62"/>
      <c r="D60" s="56"/>
      <c r="E60" s="56"/>
      <c r="F60" s="56"/>
    </row>
    <row r="61" spans="1:12" ht="15" customHeight="1" x14ac:dyDescent="0.25">
      <c r="B61" s="62"/>
      <c r="C61" s="62"/>
      <c r="D61" s="57"/>
      <c r="E61" s="57"/>
      <c r="F61" s="57"/>
    </row>
    <row r="62" spans="1:12" ht="15" customHeight="1" x14ac:dyDescent="0.25">
      <c r="B62" s="62"/>
      <c r="C62" s="62"/>
      <c r="D62" s="63"/>
      <c r="E62" s="64"/>
      <c r="F62" s="64"/>
    </row>
    <row r="64" spans="1:12" x14ac:dyDescent="0.2">
      <c r="E64" s="56"/>
      <c r="F64" s="56"/>
      <c r="G64" s="163"/>
      <c r="H64" s="163"/>
    </row>
    <row r="65" spans="5:8" x14ac:dyDescent="0.2">
      <c r="E65" s="57"/>
      <c r="F65" s="57"/>
      <c r="G65" s="164"/>
      <c r="H65" s="164"/>
    </row>
  </sheetData>
  <mergeCells count="50">
    <mergeCell ref="G64:H64"/>
    <mergeCell ref="G65:H65"/>
    <mergeCell ref="B3:D3"/>
    <mergeCell ref="B45:D45"/>
    <mergeCell ref="B46:D46"/>
    <mergeCell ref="B47:D47"/>
    <mergeCell ref="B48:D48"/>
    <mergeCell ref="B49:D49"/>
    <mergeCell ref="B50:D50"/>
    <mergeCell ref="B39:D39"/>
    <mergeCell ref="B44:D44"/>
    <mergeCell ref="B33:D33"/>
    <mergeCell ref="B34:D34"/>
    <mergeCell ref="B35:D35"/>
    <mergeCell ref="B36:D36"/>
    <mergeCell ref="B37:D37"/>
    <mergeCell ref="B31:D31"/>
    <mergeCell ref="B32:D32"/>
    <mergeCell ref="B40:D40"/>
    <mergeCell ref="B41:D41"/>
    <mergeCell ref="B42:D42"/>
    <mergeCell ref="B43:D43"/>
    <mergeCell ref="B22:D22"/>
    <mergeCell ref="B23:D23"/>
    <mergeCell ref="B24:D24"/>
    <mergeCell ref="B25:D25"/>
    <mergeCell ref="B26:D26"/>
    <mergeCell ref="B38:D38"/>
    <mergeCell ref="B27:D27"/>
    <mergeCell ref="B28:D28"/>
    <mergeCell ref="B29:D29"/>
    <mergeCell ref="B30:D30"/>
    <mergeCell ref="B16:D16"/>
    <mergeCell ref="B17:D17"/>
    <mergeCell ref="B18:D18"/>
    <mergeCell ref="B19:D19"/>
    <mergeCell ref="B20:D20"/>
    <mergeCell ref="B21:D21"/>
    <mergeCell ref="B10:D10"/>
    <mergeCell ref="B11:D11"/>
    <mergeCell ref="B12:D12"/>
    <mergeCell ref="B13:D13"/>
    <mergeCell ref="B14:D14"/>
    <mergeCell ref="B15:D15"/>
    <mergeCell ref="B1:C1"/>
    <mergeCell ref="B2:C2"/>
    <mergeCell ref="B5:F5"/>
    <mergeCell ref="B7:D7"/>
    <mergeCell ref="B8:D8"/>
    <mergeCell ref="B9:D9"/>
  </mergeCells>
  <printOptions horizontalCentered="1"/>
  <pageMargins left="0.15748031496062992" right="0.31496062992125984" top="0.39370078740157483" bottom="0.39370078740157483" header="0.51181102362204722" footer="0.51181102362204722"/>
  <pageSetup paperSize="9" scale="58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4"/>
  <sheetViews>
    <sheetView workbookViewId="0">
      <pane xSplit="1" topLeftCell="B1" activePane="topRight" state="frozen"/>
      <selection pane="topRight" activeCell="G9" sqref="G9"/>
    </sheetView>
  </sheetViews>
  <sheetFormatPr defaultRowHeight="12.75" x14ac:dyDescent="0.2"/>
  <cols>
    <col min="1" max="1" width="9.140625" style="69"/>
    <col min="2" max="2" width="10.140625" style="69" customWidth="1"/>
    <col min="3" max="3" width="17.5703125" style="69" customWidth="1"/>
    <col min="4" max="4" width="12.85546875" style="69" customWidth="1"/>
    <col min="5" max="5" width="18.28515625" style="69" customWidth="1"/>
    <col min="6" max="6" width="17.5703125" style="69" customWidth="1"/>
    <col min="7" max="9" width="9.28515625" style="69" customWidth="1"/>
    <col min="10" max="11" width="9.140625" style="69"/>
    <col min="12" max="12" width="9.28515625" style="69" customWidth="1"/>
    <col min="13" max="20" width="9.140625" style="69"/>
    <col min="21" max="21" width="9.28515625" style="69" customWidth="1"/>
    <col min="22" max="22" width="9.140625" style="69"/>
    <col min="23" max="23" width="9.28515625" style="69" customWidth="1"/>
    <col min="24" max="50" width="9.140625" style="69"/>
    <col min="51" max="51" width="41.7109375" style="69" customWidth="1"/>
    <col min="52" max="52" width="3.28515625" style="69" customWidth="1"/>
    <col min="53" max="53" width="4.42578125" style="69" customWidth="1"/>
    <col min="54" max="55" width="4.28515625" style="69" customWidth="1"/>
    <col min="56" max="56" width="4.42578125" style="69" customWidth="1"/>
    <col min="57" max="63" width="4.28515625" style="69" customWidth="1"/>
    <col min="64" max="16384" width="9.140625" style="69"/>
  </cols>
  <sheetData>
    <row r="1" spans="1:34" ht="16.5" customHeight="1" x14ac:dyDescent="0.2">
      <c r="E1" s="70"/>
      <c r="F1" s="71"/>
      <c r="Q1" s="69">
        <v>30</v>
      </c>
    </row>
    <row r="2" spans="1:34" x14ac:dyDescent="0.2">
      <c r="AC2" s="165"/>
      <c r="AD2" s="165"/>
      <c r="AE2" s="165"/>
      <c r="AF2" s="165"/>
      <c r="AG2" s="165"/>
      <c r="AH2" s="165"/>
    </row>
    <row r="3" spans="1:34" x14ac:dyDescent="0.2">
      <c r="B3" s="72"/>
      <c r="C3" s="72"/>
      <c r="N3" s="73"/>
      <c r="O3" s="74"/>
    </row>
    <row r="4" spans="1:34" x14ac:dyDescent="0.2">
      <c r="B4" s="72"/>
      <c r="C4" s="72"/>
      <c r="N4" s="75"/>
      <c r="O4" s="76"/>
    </row>
    <row r="5" spans="1:34" x14ac:dyDescent="0.2">
      <c r="N5" s="77"/>
      <c r="O5" s="78"/>
    </row>
    <row r="6" spans="1:34" x14ac:dyDescent="0.2">
      <c r="N6" s="79"/>
      <c r="O6" s="80"/>
    </row>
    <row r="8" spans="1:34" x14ac:dyDescent="0.2">
      <c r="B8" s="81"/>
      <c r="C8" s="81"/>
    </row>
    <row r="9" spans="1:34" x14ac:dyDescent="0.2">
      <c r="B9" s="81"/>
      <c r="C9" s="81"/>
    </row>
    <row r="10" spans="1:34" x14ac:dyDescent="0.2">
      <c r="B10" s="82"/>
      <c r="C10" s="82"/>
    </row>
    <row r="14" spans="1:34" x14ac:dyDescent="0.2">
      <c r="A14" s="83"/>
      <c r="B14" s="84"/>
      <c r="C14" s="84"/>
      <c r="D14" s="85"/>
      <c r="M14" s="86"/>
    </row>
    <row r="15" spans="1:34" x14ac:dyDescent="0.2">
      <c r="A15" s="83"/>
      <c r="B15" s="84"/>
      <c r="C15" s="84"/>
      <c r="M15" s="86"/>
    </row>
    <row r="16" spans="1:34" x14ac:dyDescent="0.2">
      <c r="A16" s="83"/>
      <c r="B16" s="84"/>
      <c r="C16" s="84"/>
      <c r="M16" s="86"/>
    </row>
    <row r="17" spans="1:31" x14ac:dyDescent="0.2">
      <c r="A17" s="83"/>
      <c r="B17" s="84"/>
      <c r="C17" s="84"/>
      <c r="M17" s="86"/>
    </row>
    <row r="18" spans="1:31" x14ac:dyDescent="0.2">
      <c r="A18" s="83"/>
      <c r="B18" s="84"/>
      <c r="C18" s="84"/>
      <c r="M18" s="86"/>
    </row>
    <row r="19" spans="1:31" x14ac:dyDescent="0.2">
      <c r="A19" s="83"/>
      <c r="B19" s="84"/>
      <c r="C19" s="84"/>
      <c r="M19" s="86"/>
    </row>
    <row r="20" spans="1:31" x14ac:dyDescent="0.2">
      <c r="A20" s="83"/>
      <c r="B20" s="84"/>
      <c r="C20" s="84"/>
      <c r="M20" s="87"/>
    </row>
    <row r="21" spans="1:31" x14ac:dyDescent="0.2">
      <c r="A21" s="83"/>
      <c r="B21" s="84"/>
      <c r="C21" s="84"/>
      <c r="M21" s="88"/>
    </row>
    <row r="22" spans="1:31" x14ac:dyDescent="0.2">
      <c r="A22" s="83"/>
      <c r="B22" s="84"/>
      <c r="C22" s="84"/>
      <c r="M22" s="89"/>
    </row>
    <row r="23" spans="1:31" x14ac:dyDescent="0.2">
      <c r="A23" s="83"/>
      <c r="B23" s="84"/>
      <c r="C23" s="84"/>
      <c r="M23" s="86"/>
    </row>
    <row r="24" spans="1:31" x14ac:dyDescent="0.2">
      <c r="A24" s="83"/>
      <c r="B24" s="84"/>
      <c r="C24" s="84"/>
      <c r="M24" s="86"/>
    </row>
    <row r="25" spans="1:31" x14ac:dyDescent="0.2">
      <c r="A25" s="83"/>
      <c r="B25" s="84"/>
      <c r="C25" s="84"/>
      <c r="M25" s="86"/>
    </row>
    <row r="26" spans="1:31" x14ac:dyDescent="0.2">
      <c r="A26" s="83"/>
      <c r="B26" s="84"/>
      <c r="C26" s="84"/>
      <c r="M26" s="86"/>
      <c r="AE26" s="90"/>
    </row>
    <row r="27" spans="1:31" x14ac:dyDescent="0.2">
      <c r="A27" s="83"/>
      <c r="B27" s="84"/>
      <c r="C27" s="84"/>
      <c r="M27" s="86"/>
    </row>
    <row r="28" spans="1:31" x14ac:dyDescent="0.2">
      <c r="A28" s="83"/>
      <c r="B28" s="84"/>
      <c r="C28" s="84"/>
      <c r="M28" s="86"/>
    </row>
    <row r="29" spans="1:31" x14ac:dyDescent="0.2">
      <c r="A29" s="83"/>
      <c r="B29" s="84"/>
      <c r="C29" s="84"/>
      <c r="M29" s="86"/>
    </row>
    <row r="30" spans="1:31" x14ac:dyDescent="0.2">
      <c r="A30" s="83"/>
      <c r="B30" s="84"/>
      <c r="C30" s="84"/>
      <c r="M30" s="86"/>
    </row>
    <row r="31" spans="1:31" x14ac:dyDescent="0.2">
      <c r="A31" s="83"/>
      <c r="B31" s="84"/>
      <c r="C31" s="84"/>
      <c r="M31" s="91"/>
    </row>
    <row r="32" spans="1:31" x14ac:dyDescent="0.2">
      <c r="A32" s="83"/>
      <c r="B32" s="84"/>
      <c r="C32" s="84"/>
      <c r="M32" s="92"/>
    </row>
    <row r="33" spans="1:13" x14ac:dyDescent="0.2">
      <c r="A33" s="83"/>
      <c r="B33" s="84"/>
      <c r="C33" s="84"/>
      <c r="M33" s="86"/>
    </row>
    <row r="34" spans="1:13" x14ac:dyDescent="0.2">
      <c r="A34" s="83"/>
      <c r="B34" s="84"/>
      <c r="C34" s="84"/>
      <c r="M34" s="86"/>
    </row>
    <row r="35" spans="1:13" x14ac:dyDescent="0.2">
      <c r="A35" s="83"/>
      <c r="B35" s="84"/>
      <c r="C35" s="84"/>
      <c r="M35" s="86"/>
    </row>
    <row r="36" spans="1:13" x14ac:dyDescent="0.2">
      <c r="A36" s="83"/>
      <c r="B36" s="84"/>
      <c r="C36" s="84"/>
      <c r="M36" s="86"/>
    </row>
    <row r="37" spans="1:13" x14ac:dyDescent="0.2">
      <c r="A37" s="83"/>
      <c r="B37" s="84"/>
      <c r="C37" s="84"/>
      <c r="M37" s="86"/>
    </row>
    <row r="38" spans="1:13" x14ac:dyDescent="0.2">
      <c r="A38" s="83"/>
      <c r="B38" s="84"/>
      <c r="C38" s="84"/>
      <c r="M38" s="86"/>
    </row>
    <row r="39" spans="1:13" x14ac:dyDescent="0.2">
      <c r="A39" s="83"/>
      <c r="B39" s="84"/>
      <c r="C39" s="84"/>
      <c r="M39" s="86"/>
    </row>
    <row r="40" spans="1:13" x14ac:dyDescent="0.2">
      <c r="A40" s="83"/>
      <c r="B40" s="84"/>
      <c r="C40" s="84"/>
      <c r="M40" s="86"/>
    </row>
    <row r="41" spans="1:13" x14ac:dyDescent="0.2">
      <c r="A41" s="83"/>
      <c r="B41" s="84"/>
      <c r="C41" s="84"/>
      <c r="M41" s="86"/>
    </row>
    <row r="42" spans="1:13" x14ac:dyDescent="0.2">
      <c r="A42" s="83"/>
      <c r="B42" s="84"/>
      <c r="C42" s="84"/>
      <c r="M42" s="86"/>
    </row>
    <row r="43" spans="1:13" x14ac:dyDescent="0.2">
      <c r="A43" s="83"/>
      <c r="B43" s="84"/>
      <c r="C43" s="84"/>
      <c r="M43" s="86"/>
    </row>
    <row r="44" spans="1:13" x14ac:dyDescent="0.2">
      <c r="A44" s="83"/>
      <c r="B44" s="84"/>
      <c r="C44" s="84"/>
      <c r="M44" s="86"/>
    </row>
    <row r="45" spans="1:13" x14ac:dyDescent="0.2">
      <c r="A45" s="83"/>
      <c r="B45" s="84"/>
      <c r="C45" s="84"/>
      <c r="M45" s="86"/>
    </row>
    <row r="46" spans="1:13" x14ac:dyDescent="0.2">
      <c r="A46" s="83"/>
      <c r="B46" s="84"/>
      <c r="C46" s="84"/>
      <c r="M46" s="86"/>
    </row>
    <row r="47" spans="1:13" x14ac:dyDescent="0.2">
      <c r="A47" s="83"/>
      <c r="B47" s="84"/>
      <c r="C47" s="84"/>
      <c r="M47" s="86"/>
    </row>
    <row r="48" spans="1:13" x14ac:dyDescent="0.2">
      <c r="A48" s="83"/>
      <c r="B48" s="84"/>
      <c r="C48" s="84"/>
      <c r="M48" s="86"/>
    </row>
    <row r="49" spans="1:13" x14ac:dyDescent="0.2">
      <c r="A49" s="83"/>
      <c r="B49" s="84"/>
      <c r="C49" s="84"/>
      <c r="M49" s="86"/>
    </row>
    <row r="50" spans="1:13" x14ac:dyDescent="0.2">
      <c r="A50" s="83"/>
      <c r="B50" s="84"/>
      <c r="C50" s="84"/>
      <c r="M50" s="86"/>
    </row>
    <row r="51" spans="1:13" x14ac:dyDescent="0.2">
      <c r="A51" s="83"/>
      <c r="B51" s="84"/>
      <c r="C51" s="84"/>
      <c r="M51" s="86"/>
    </row>
    <row r="52" spans="1:13" x14ac:dyDescent="0.2">
      <c r="A52" s="83"/>
      <c r="B52" s="84"/>
      <c r="C52" s="84"/>
      <c r="M52" s="86"/>
    </row>
    <row r="53" spans="1:13" x14ac:dyDescent="0.2">
      <c r="A53" s="83"/>
      <c r="B53" s="84"/>
      <c r="C53" s="84"/>
      <c r="M53" s="86"/>
    </row>
    <row r="54" spans="1:13" x14ac:dyDescent="0.2">
      <c r="A54" s="83"/>
      <c r="B54" s="84"/>
      <c r="C54" s="84"/>
      <c r="M54" s="86"/>
    </row>
  </sheetData>
  <mergeCells count="1">
    <mergeCell ref="AC2:AH2"/>
  </mergeCells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82"/>
  <sheetViews>
    <sheetView topLeftCell="A49" workbookViewId="0">
      <selection activeCell="H83" sqref="H83"/>
    </sheetView>
  </sheetViews>
  <sheetFormatPr defaultRowHeight="12.75" x14ac:dyDescent="0.2"/>
  <cols>
    <col min="2" max="2" width="12.7109375" customWidth="1"/>
    <col min="3" max="3" width="11.7109375" customWidth="1"/>
    <col min="4" max="4" width="10.85546875" customWidth="1"/>
    <col min="5" max="9" width="12.140625" customWidth="1"/>
  </cols>
  <sheetData>
    <row r="3" spans="2:12" x14ac:dyDescent="0.2">
      <c r="B3" t="s">
        <v>244</v>
      </c>
      <c r="C3" t="s">
        <v>245</v>
      </c>
      <c r="D3" t="s">
        <v>222</v>
      </c>
      <c r="E3" t="s">
        <v>383</v>
      </c>
      <c r="F3" t="s">
        <v>384</v>
      </c>
      <c r="G3" t="s">
        <v>385</v>
      </c>
      <c r="J3" t="s">
        <v>246</v>
      </c>
      <c r="K3" t="s">
        <v>247</v>
      </c>
      <c r="L3" t="s">
        <v>248</v>
      </c>
    </row>
    <row r="4" spans="2:12" x14ac:dyDescent="0.2">
      <c r="B4" s="127">
        <v>41295</v>
      </c>
      <c r="C4" t="s">
        <v>249</v>
      </c>
      <c r="D4" t="s">
        <v>250</v>
      </c>
      <c r="F4">
        <v>120</v>
      </c>
      <c r="K4" t="s">
        <v>251</v>
      </c>
      <c r="L4" t="s">
        <v>252</v>
      </c>
    </row>
    <row r="5" spans="2:12" x14ac:dyDescent="0.2">
      <c r="B5" s="127">
        <v>41304</v>
      </c>
      <c r="C5" t="s">
        <v>253</v>
      </c>
      <c r="D5" t="s">
        <v>254</v>
      </c>
      <c r="E5">
        <v>3600</v>
      </c>
      <c r="K5" t="s">
        <v>251</v>
      </c>
    </row>
    <row r="6" spans="2:12" x14ac:dyDescent="0.2">
      <c r="B6" s="127">
        <v>41423</v>
      </c>
      <c r="C6" t="s">
        <v>255</v>
      </c>
      <c r="D6" t="s">
        <v>256</v>
      </c>
      <c r="E6">
        <v>310</v>
      </c>
      <c r="K6" t="s">
        <v>251</v>
      </c>
      <c r="L6" t="s">
        <v>257</v>
      </c>
    </row>
    <row r="7" spans="2:12" x14ac:dyDescent="0.2">
      <c r="B7" s="127">
        <v>41425</v>
      </c>
      <c r="C7" t="s">
        <v>258</v>
      </c>
      <c r="D7" t="s">
        <v>259</v>
      </c>
      <c r="G7">
        <v>15703</v>
      </c>
      <c r="K7" t="s">
        <v>251</v>
      </c>
      <c r="L7" t="s">
        <v>260</v>
      </c>
    </row>
    <row r="8" spans="2:12" x14ac:dyDescent="0.2">
      <c r="B8" s="127">
        <v>41442</v>
      </c>
      <c r="C8" t="s">
        <v>261</v>
      </c>
      <c r="D8" t="s">
        <v>262</v>
      </c>
      <c r="F8">
        <v>275.98</v>
      </c>
      <c r="K8" t="s">
        <v>251</v>
      </c>
      <c r="L8" t="s">
        <v>263</v>
      </c>
    </row>
    <row r="9" spans="2:12" x14ac:dyDescent="0.2">
      <c r="B9" s="127">
        <v>41449</v>
      </c>
      <c r="C9" t="s">
        <v>264</v>
      </c>
      <c r="D9" t="s">
        <v>265</v>
      </c>
      <c r="E9">
        <v>310</v>
      </c>
      <c r="K9" t="s">
        <v>251</v>
      </c>
      <c r="L9" t="s">
        <v>266</v>
      </c>
    </row>
    <row r="10" spans="2:12" x14ac:dyDescent="0.2">
      <c r="B10" s="127">
        <v>41455</v>
      </c>
      <c r="C10" t="s">
        <v>267</v>
      </c>
      <c r="D10" t="s">
        <v>256</v>
      </c>
      <c r="G10">
        <v>850</v>
      </c>
      <c r="K10" t="s">
        <v>251</v>
      </c>
      <c r="L10" t="s">
        <v>268</v>
      </c>
    </row>
    <row r="11" spans="2:12" x14ac:dyDescent="0.2">
      <c r="B11" s="127">
        <v>41467</v>
      </c>
      <c r="C11" t="s">
        <v>269</v>
      </c>
      <c r="D11" t="s">
        <v>270</v>
      </c>
      <c r="F11">
        <v>275.02</v>
      </c>
      <c r="K11" t="s">
        <v>251</v>
      </c>
      <c r="L11" t="s">
        <v>271</v>
      </c>
    </row>
    <row r="12" spans="2:12" x14ac:dyDescent="0.2">
      <c r="B12" s="127">
        <v>41481</v>
      </c>
      <c r="C12" t="s">
        <v>272</v>
      </c>
      <c r="D12" t="s">
        <v>273</v>
      </c>
      <c r="E12">
        <v>60</v>
      </c>
      <c r="K12" t="s">
        <v>251</v>
      </c>
      <c r="L12" t="s">
        <v>274</v>
      </c>
    </row>
    <row r="13" spans="2:12" x14ac:dyDescent="0.2">
      <c r="B13" s="127">
        <v>41481</v>
      </c>
      <c r="C13" t="s">
        <v>272</v>
      </c>
      <c r="D13" t="s">
        <v>275</v>
      </c>
      <c r="E13">
        <v>13.8</v>
      </c>
      <c r="K13" t="s">
        <v>251</v>
      </c>
      <c r="L13" t="s">
        <v>274</v>
      </c>
    </row>
    <row r="14" spans="2:12" x14ac:dyDescent="0.2">
      <c r="B14" s="127">
        <v>41487</v>
      </c>
      <c r="C14" t="s">
        <v>276</v>
      </c>
      <c r="D14" t="s">
        <v>277</v>
      </c>
      <c r="F14">
        <v>5453.7</v>
      </c>
      <c r="K14" t="s">
        <v>251</v>
      </c>
      <c r="L14" t="s">
        <v>278</v>
      </c>
    </row>
    <row r="15" spans="2:12" x14ac:dyDescent="0.2">
      <c r="B15" s="127">
        <v>41503</v>
      </c>
      <c r="C15" t="s">
        <v>279</v>
      </c>
      <c r="D15" t="s">
        <v>280</v>
      </c>
      <c r="F15">
        <v>227.61</v>
      </c>
      <c r="K15" t="s">
        <v>251</v>
      </c>
      <c r="L15" t="s">
        <v>281</v>
      </c>
    </row>
    <row r="16" spans="2:12" x14ac:dyDescent="0.2">
      <c r="B16" s="127">
        <v>41505</v>
      </c>
      <c r="C16" t="s">
        <v>282</v>
      </c>
      <c r="D16" t="s">
        <v>283</v>
      </c>
      <c r="E16">
        <v>3750</v>
      </c>
      <c r="K16" t="s">
        <v>251</v>
      </c>
      <c r="L16" t="s">
        <v>284</v>
      </c>
    </row>
    <row r="17" spans="2:12" x14ac:dyDescent="0.2">
      <c r="B17" s="127">
        <v>41506</v>
      </c>
      <c r="C17" t="s">
        <v>285</v>
      </c>
      <c r="D17" t="s">
        <v>277</v>
      </c>
      <c r="E17">
        <v>2397.6</v>
      </c>
      <c r="K17" t="s">
        <v>251</v>
      </c>
      <c r="L17" t="s">
        <v>286</v>
      </c>
    </row>
    <row r="18" spans="2:12" x14ac:dyDescent="0.2">
      <c r="B18" s="127">
        <v>41507</v>
      </c>
      <c r="C18" t="s">
        <v>287</v>
      </c>
      <c r="D18" t="s">
        <v>283</v>
      </c>
      <c r="E18">
        <v>93</v>
      </c>
      <c r="K18" t="s">
        <v>251</v>
      </c>
      <c r="L18" t="s">
        <v>288</v>
      </c>
    </row>
    <row r="19" spans="2:12" x14ac:dyDescent="0.2">
      <c r="B19" s="127">
        <v>41514</v>
      </c>
      <c r="C19" t="s">
        <v>289</v>
      </c>
      <c r="D19" t="s">
        <v>290</v>
      </c>
      <c r="E19">
        <v>50</v>
      </c>
      <c r="K19" t="s">
        <v>251</v>
      </c>
      <c r="L19" t="s">
        <v>291</v>
      </c>
    </row>
    <row r="20" spans="2:12" x14ac:dyDescent="0.2">
      <c r="B20" s="127">
        <v>41517</v>
      </c>
      <c r="C20" t="s">
        <v>292</v>
      </c>
      <c r="D20" t="s">
        <v>265</v>
      </c>
      <c r="G20">
        <v>1050</v>
      </c>
      <c r="K20" t="s">
        <v>251</v>
      </c>
      <c r="L20" t="s">
        <v>293</v>
      </c>
    </row>
    <row r="21" spans="2:12" x14ac:dyDescent="0.2">
      <c r="B21" s="127">
        <v>41522</v>
      </c>
      <c r="C21" t="s">
        <v>294</v>
      </c>
      <c r="D21" t="s">
        <v>290</v>
      </c>
      <c r="E21">
        <v>40</v>
      </c>
      <c r="K21" t="s">
        <v>251</v>
      </c>
    </row>
    <row r="22" spans="2:12" x14ac:dyDescent="0.2">
      <c r="B22" s="127">
        <v>41522</v>
      </c>
      <c r="C22" t="s">
        <v>295</v>
      </c>
      <c r="D22" t="s">
        <v>290</v>
      </c>
      <c r="E22">
        <v>48.55</v>
      </c>
      <c r="K22" t="s">
        <v>251</v>
      </c>
      <c r="L22" t="s">
        <v>296</v>
      </c>
    </row>
    <row r="23" spans="2:12" x14ac:dyDescent="0.2">
      <c r="B23" s="127">
        <v>41526</v>
      </c>
      <c r="C23" t="s">
        <v>297</v>
      </c>
      <c r="D23" t="s">
        <v>280</v>
      </c>
      <c r="E23">
        <v>3.2</v>
      </c>
      <c r="K23" t="s">
        <v>251</v>
      </c>
      <c r="L23" t="s">
        <v>298</v>
      </c>
    </row>
    <row r="24" spans="2:12" x14ac:dyDescent="0.2">
      <c r="B24" s="127">
        <v>41526</v>
      </c>
      <c r="C24" t="s">
        <v>297</v>
      </c>
      <c r="D24" t="s">
        <v>283</v>
      </c>
      <c r="E24">
        <v>31.7</v>
      </c>
      <c r="K24" t="s">
        <v>251</v>
      </c>
      <c r="L24" t="s">
        <v>298</v>
      </c>
    </row>
    <row r="25" spans="2:12" x14ac:dyDescent="0.2">
      <c r="B25" s="127">
        <v>41530</v>
      </c>
      <c r="C25" t="s">
        <v>299</v>
      </c>
      <c r="D25" t="s">
        <v>254</v>
      </c>
      <c r="I25">
        <v>21</v>
      </c>
      <c r="K25" t="s">
        <v>251</v>
      </c>
      <c r="L25" t="s">
        <v>300</v>
      </c>
    </row>
    <row r="26" spans="2:12" x14ac:dyDescent="0.2">
      <c r="B26" s="127">
        <v>41533</v>
      </c>
      <c r="C26" t="s">
        <v>301</v>
      </c>
      <c r="D26" t="s">
        <v>280</v>
      </c>
      <c r="E26">
        <v>347.67</v>
      </c>
      <c r="K26" t="s">
        <v>251</v>
      </c>
      <c r="L26" t="s">
        <v>302</v>
      </c>
    </row>
    <row r="27" spans="2:12" x14ac:dyDescent="0.2">
      <c r="B27" s="127">
        <v>41534</v>
      </c>
      <c r="C27" t="s">
        <v>303</v>
      </c>
      <c r="D27" t="s">
        <v>290</v>
      </c>
      <c r="E27">
        <v>20.8</v>
      </c>
      <c r="K27" t="s">
        <v>251</v>
      </c>
      <c r="L27" t="s">
        <v>304</v>
      </c>
    </row>
    <row r="28" spans="2:12" x14ac:dyDescent="0.2">
      <c r="B28" s="127">
        <v>41534</v>
      </c>
      <c r="C28" t="s">
        <v>303</v>
      </c>
      <c r="D28" t="s">
        <v>283</v>
      </c>
      <c r="E28">
        <v>11.36</v>
      </c>
      <c r="K28" t="s">
        <v>251</v>
      </c>
      <c r="L28" t="s">
        <v>304</v>
      </c>
    </row>
    <row r="29" spans="2:12" x14ac:dyDescent="0.2">
      <c r="B29" s="127">
        <v>41540</v>
      </c>
      <c r="C29" t="s">
        <v>305</v>
      </c>
      <c r="D29" t="s">
        <v>254</v>
      </c>
      <c r="E29">
        <v>24.39</v>
      </c>
      <c r="K29" t="s">
        <v>251</v>
      </c>
      <c r="L29" t="s">
        <v>306</v>
      </c>
    </row>
    <row r="30" spans="2:12" x14ac:dyDescent="0.2">
      <c r="B30" s="127">
        <v>41542</v>
      </c>
      <c r="C30" t="s">
        <v>307</v>
      </c>
      <c r="D30" t="s">
        <v>290</v>
      </c>
      <c r="E30">
        <v>360</v>
      </c>
      <c r="K30" t="s">
        <v>251</v>
      </c>
      <c r="L30" t="s">
        <v>308</v>
      </c>
    </row>
    <row r="31" spans="2:12" x14ac:dyDescent="0.2">
      <c r="B31" s="127">
        <v>41542</v>
      </c>
      <c r="C31" t="s">
        <v>309</v>
      </c>
      <c r="D31" t="s">
        <v>283</v>
      </c>
      <c r="E31">
        <v>14.51</v>
      </c>
      <c r="K31" t="s">
        <v>251</v>
      </c>
      <c r="L31" t="s">
        <v>310</v>
      </c>
    </row>
    <row r="32" spans="2:12" x14ac:dyDescent="0.2">
      <c r="B32" s="127">
        <v>41542</v>
      </c>
      <c r="C32" t="s">
        <v>309</v>
      </c>
      <c r="D32" t="s">
        <v>254</v>
      </c>
      <c r="E32">
        <v>3.8</v>
      </c>
      <c r="K32" t="s">
        <v>251</v>
      </c>
      <c r="L32" t="s">
        <v>310</v>
      </c>
    </row>
    <row r="33" spans="2:12" x14ac:dyDescent="0.2">
      <c r="B33" s="127">
        <v>41547</v>
      </c>
      <c r="C33" t="s">
        <v>311</v>
      </c>
      <c r="D33" t="s">
        <v>312</v>
      </c>
      <c r="G33">
        <v>1600</v>
      </c>
      <c r="K33" t="s">
        <v>251</v>
      </c>
      <c r="L33" t="s">
        <v>313</v>
      </c>
    </row>
    <row r="34" spans="2:12" x14ac:dyDescent="0.2">
      <c r="B34" s="127">
        <v>41547</v>
      </c>
      <c r="C34" t="s">
        <v>311</v>
      </c>
      <c r="D34" t="s">
        <v>312</v>
      </c>
      <c r="H34">
        <v>330.24</v>
      </c>
      <c r="K34" t="s">
        <v>251</v>
      </c>
      <c r="L34" t="s">
        <v>314</v>
      </c>
    </row>
    <row r="35" spans="2:12" x14ac:dyDescent="0.2">
      <c r="B35" s="127">
        <v>41547</v>
      </c>
      <c r="C35" t="s">
        <v>315</v>
      </c>
      <c r="D35" t="s">
        <v>277</v>
      </c>
      <c r="E35">
        <v>9266.4</v>
      </c>
      <c r="K35" t="s">
        <v>251</v>
      </c>
      <c r="L35" t="s">
        <v>316</v>
      </c>
    </row>
    <row r="36" spans="2:12" x14ac:dyDescent="0.2">
      <c r="B36" s="127">
        <v>41547</v>
      </c>
      <c r="C36" t="s">
        <v>317</v>
      </c>
      <c r="D36" t="s">
        <v>273</v>
      </c>
      <c r="E36">
        <v>39.32</v>
      </c>
      <c r="K36" t="s">
        <v>251</v>
      </c>
      <c r="L36" t="s">
        <v>318</v>
      </c>
    </row>
    <row r="37" spans="2:12" x14ac:dyDescent="0.2">
      <c r="B37" s="127">
        <v>41547</v>
      </c>
      <c r="C37" t="s">
        <v>317</v>
      </c>
      <c r="D37" t="s">
        <v>283</v>
      </c>
      <c r="E37">
        <v>39.33</v>
      </c>
      <c r="K37" t="s">
        <v>251</v>
      </c>
      <c r="L37" t="s">
        <v>318</v>
      </c>
    </row>
    <row r="38" spans="2:12" x14ac:dyDescent="0.2">
      <c r="B38" s="127">
        <v>41547</v>
      </c>
      <c r="C38" t="s">
        <v>319</v>
      </c>
      <c r="D38" t="s">
        <v>254</v>
      </c>
      <c r="I38">
        <v>43.52</v>
      </c>
      <c r="K38" t="s">
        <v>251</v>
      </c>
      <c r="L38" t="s">
        <v>300</v>
      </c>
    </row>
    <row r="39" spans="2:12" x14ac:dyDescent="0.2">
      <c r="B39" s="127">
        <v>41547</v>
      </c>
      <c r="C39" t="s">
        <v>320</v>
      </c>
      <c r="D39" t="s">
        <v>254</v>
      </c>
      <c r="I39">
        <v>43.52</v>
      </c>
      <c r="K39" t="s">
        <v>251</v>
      </c>
      <c r="L39" t="s">
        <v>300</v>
      </c>
    </row>
    <row r="40" spans="2:12" x14ac:dyDescent="0.2">
      <c r="B40" s="127">
        <v>41550</v>
      </c>
      <c r="C40" t="s">
        <v>321</v>
      </c>
      <c r="D40" t="s">
        <v>283</v>
      </c>
      <c r="E40">
        <v>13</v>
      </c>
      <c r="K40" t="s">
        <v>251</v>
      </c>
      <c r="L40" t="s">
        <v>322</v>
      </c>
    </row>
    <row r="41" spans="2:12" x14ac:dyDescent="0.2">
      <c r="B41" s="127">
        <v>41565</v>
      </c>
      <c r="C41" t="s">
        <v>323</v>
      </c>
      <c r="D41" t="s">
        <v>324</v>
      </c>
      <c r="E41">
        <v>13660</v>
      </c>
      <c r="K41" t="s">
        <v>251</v>
      </c>
      <c r="L41" t="s">
        <v>325</v>
      </c>
    </row>
    <row r="42" spans="2:12" x14ac:dyDescent="0.2">
      <c r="B42" s="127">
        <v>41565</v>
      </c>
      <c r="C42" t="s">
        <v>326</v>
      </c>
      <c r="D42" t="s">
        <v>312</v>
      </c>
      <c r="E42">
        <v>120</v>
      </c>
      <c r="K42" t="s">
        <v>251</v>
      </c>
      <c r="L42" t="s">
        <v>327</v>
      </c>
    </row>
    <row r="43" spans="2:12" x14ac:dyDescent="0.2">
      <c r="B43" s="127">
        <v>41572</v>
      </c>
      <c r="C43" t="s">
        <v>328</v>
      </c>
      <c r="D43" t="s">
        <v>273</v>
      </c>
      <c r="E43">
        <v>13.71</v>
      </c>
      <c r="K43" t="s">
        <v>251</v>
      </c>
      <c r="L43" t="s">
        <v>274</v>
      </c>
    </row>
    <row r="44" spans="2:12" x14ac:dyDescent="0.2">
      <c r="B44" s="127">
        <v>41572</v>
      </c>
      <c r="C44" t="s">
        <v>328</v>
      </c>
      <c r="D44" t="s">
        <v>290</v>
      </c>
      <c r="E44">
        <v>13.72</v>
      </c>
      <c r="K44" t="s">
        <v>251</v>
      </c>
      <c r="L44" t="s">
        <v>274</v>
      </c>
    </row>
    <row r="45" spans="2:12" x14ac:dyDescent="0.2">
      <c r="B45" s="127">
        <v>41575</v>
      </c>
      <c r="C45" t="s">
        <v>329</v>
      </c>
      <c r="D45" t="s">
        <v>283</v>
      </c>
      <c r="F45">
        <v>138.9</v>
      </c>
      <c r="K45" t="s">
        <v>251</v>
      </c>
      <c r="L45" t="s">
        <v>330</v>
      </c>
    </row>
    <row r="46" spans="2:12" x14ac:dyDescent="0.2">
      <c r="B46" s="127">
        <v>41577</v>
      </c>
      <c r="C46" t="s">
        <v>331</v>
      </c>
      <c r="D46" t="s">
        <v>312</v>
      </c>
      <c r="G46">
        <v>1600</v>
      </c>
      <c r="K46" t="s">
        <v>251</v>
      </c>
      <c r="L46" t="s">
        <v>332</v>
      </c>
    </row>
    <row r="47" spans="2:12" x14ac:dyDescent="0.2">
      <c r="B47" s="127">
        <v>41577</v>
      </c>
      <c r="C47" t="s">
        <v>331</v>
      </c>
      <c r="D47" t="s">
        <v>312</v>
      </c>
      <c r="H47">
        <v>330.24</v>
      </c>
      <c r="K47" t="s">
        <v>251</v>
      </c>
      <c r="L47" t="s">
        <v>314</v>
      </c>
    </row>
    <row r="48" spans="2:12" x14ac:dyDescent="0.2">
      <c r="B48" s="127">
        <v>41578</v>
      </c>
      <c r="C48" t="s">
        <v>333</v>
      </c>
      <c r="D48" t="s">
        <v>312</v>
      </c>
      <c r="G48">
        <v>600</v>
      </c>
      <c r="K48" t="s">
        <v>251</v>
      </c>
      <c r="L48" t="s">
        <v>334</v>
      </c>
    </row>
    <row r="49" spans="2:12" x14ac:dyDescent="0.2">
      <c r="B49" s="127">
        <v>41578</v>
      </c>
      <c r="C49" t="s">
        <v>333</v>
      </c>
      <c r="D49" t="s">
        <v>312</v>
      </c>
      <c r="H49">
        <v>22.71</v>
      </c>
      <c r="K49" t="s">
        <v>251</v>
      </c>
      <c r="L49" t="s">
        <v>314</v>
      </c>
    </row>
    <row r="50" spans="2:12" x14ac:dyDescent="0.2">
      <c r="B50" s="127">
        <v>41578</v>
      </c>
      <c r="C50" t="s">
        <v>335</v>
      </c>
      <c r="D50" t="s">
        <v>312</v>
      </c>
      <c r="E50">
        <v>250</v>
      </c>
      <c r="K50" t="s">
        <v>251</v>
      </c>
      <c r="L50" t="s">
        <v>336</v>
      </c>
    </row>
    <row r="51" spans="2:12" x14ac:dyDescent="0.2">
      <c r="B51" s="127">
        <v>41578</v>
      </c>
      <c r="C51" t="s">
        <v>337</v>
      </c>
      <c r="D51" t="s">
        <v>338</v>
      </c>
      <c r="E51">
        <v>1039.5</v>
      </c>
      <c r="K51" t="s">
        <v>251</v>
      </c>
      <c r="L51" t="s">
        <v>339</v>
      </c>
    </row>
    <row r="52" spans="2:12" x14ac:dyDescent="0.2">
      <c r="B52" s="127">
        <v>41582</v>
      </c>
      <c r="C52" t="s">
        <v>340</v>
      </c>
      <c r="D52" t="s">
        <v>341</v>
      </c>
      <c r="E52">
        <v>36.42</v>
      </c>
      <c r="K52" t="s">
        <v>251</v>
      </c>
      <c r="L52" t="s">
        <v>342</v>
      </c>
    </row>
    <row r="53" spans="2:12" x14ac:dyDescent="0.2">
      <c r="B53" s="127">
        <v>41583</v>
      </c>
      <c r="C53" t="s">
        <v>343</v>
      </c>
      <c r="D53" t="s">
        <v>280</v>
      </c>
      <c r="E53">
        <v>14.5</v>
      </c>
      <c r="K53" t="s">
        <v>251</v>
      </c>
      <c r="L53" t="s">
        <v>344</v>
      </c>
    </row>
    <row r="54" spans="2:12" x14ac:dyDescent="0.2">
      <c r="B54" s="127">
        <v>41590</v>
      </c>
      <c r="C54" t="s">
        <v>345</v>
      </c>
      <c r="D54" t="s">
        <v>280</v>
      </c>
      <c r="F54">
        <v>468.29</v>
      </c>
      <c r="K54" t="s">
        <v>251</v>
      </c>
      <c r="L54" t="s">
        <v>346</v>
      </c>
    </row>
    <row r="55" spans="2:12" x14ac:dyDescent="0.2">
      <c r="B55" s="127">
        <v>41591</v>
      </c>
      <c r="C55" t="s">
        <v>347</v>
      </c>
      <c r="D55" t="s">
        <v>280</v>
      </c>
      <c r="E55">
        <v>18</v>
      </c>
      <c r="K55" t="s">
        <v>251</v>
      </c>
      <c r="L55" t="s">
        <v>348</v>
      </c>
    </row>
    <row r="56" spans="2:12" x14ac:dyDescent="0.2">
      <c r="B56" s="127">
        <v>41592</v>
      </c>
      <c r="C56" t="s">
        <v>349</v>
      </c>
      <c r="D56" t="s">
        <v>280</v>
      </c>
      <c r="E56">
        <v>100</v>
      </c>
      <c r="K56" t="s">
        <v>251</v>
      </c>
      <c r="L56" t="s">
        <v>350</v>
      </c>
    </row>
    <row r="57" spans="2:12" x14ac:dyDescent="0.2">
      <c r="B57" s="127">
        <v>41592</v>
      </c>
      <c r="C57" t="s">
        <v>351</v>
      </c>
      <c r="D57" t="s">
        <v>341</v>
      </c>
      <c r="E57">
        <v>371</v>
      </c>
      <c r="K57" t="s">
        <v>251</v>
      </c>
      <c r="L57" t="s">
        <v>352</v>
      </c>
    </row>
    <row r="58" spans="2:12" x14ac:dyDescent="0.2">
      <c r="B58" s="127">
        <v>41603</v>
      </c>
      <c r="C58" t="s">
        <v>353</v>
      </c>
      <c r="D58" t="s">
        <v>341</v>
      </c>
      <c r="F58">
        <v>33.700000000000003</v>
      </c>
      <c r="K58" t="s">
        <v>251</v>
      </c>
      <c r="L58" t="s">
        <v>342</v>
      </c>
    </row>
    <row r="59" spans="2:12" x14ac:dyDescent="0.2">
      <c r="B59" s="127">
        <v>41603</v>
      </c>
      <c r="C59" t="s">
        <v>354</v>
      </c>
      <c r="D59" t="s">
        <v>312</v>
      </c>
      <c r="F59">
        <v>1310.74</v>
      </c>
      <c r="K59" t="s">
        <v>251</v>
      </c>
      <c r="L59" t="s">
        <v>355</v>
      </c>
    </row>
    <row r="60" spans="2:12" x14ac:dyDescent="0.2">
      <c r="B60" s="127">
        <v>41603</v>
      </c>
      <c r="C60" t="s">
        <v>356</v>
      </c>
      <c r="D60" t="s">
        <v>312</v>
      </c>
      <c r="F60">
        <v>1633</v>
      </c>
      <c r="K60" t="s">
        <v>251</v>
      </c>
      <c r="L60" t="s">
        <v>357</v>
      </c>
    </row>
    <row r="61" spans="2:12" x14ac:dyDescent="0.2">
      <c r="B61" s="127">
        <v>41603</v>
      </c>
      <c r="C61" t="s">
        <v>358</v>
      </c>
      <c r="D61" t="s">
        <v>290</v>
      </c>
      <c r="E61">
        <v>23</v>
      </c>
      <c r="K61" t="s">
        <v>251</v>
      </c>
      <c r="L61" t="s">
        <v>274</v>
      </c>
    </row>
    <row r="62" spans="2:12" x14ac:dyDescent="0.2">
      <c r="B62" s="127">
        <v>41607</v>
      </c>
      <c r="C62" t="s">
        <v>359</v>
      </c>
      <c r="D62" t="s">
        <v>341</v>
      </c>
      <c r="F62">
        <v>27.5</v>
      </c>
      <c r="K62" t="s">
        <v>251</v>
      </c>
      <c r="L62" t="s">
        <v>360</v>
      </c>
    </row>
    <row r="63" spans="2:12" x14ac:dyDescent="0.2">
      <c r="B63" s="127">
        <v>41607</v>
      </c>
      <c r="C63" t="s">
        <v>361</v>
      </c>
      <c r="D63" t="s">
        <v>312</v>
      </c>
      <c r="E63">
        <v>250</v>
      </c>
      <c r="K63" t="s">
        <v>251</v>
      </c>
      <c r="L63" t="s">
        <v>362</v>
      </c>
    </row>
    <row r="64" spans="2:12" x14ac:dyDescent="0.2">
      <c r="B64" s="127">
        <v>41608</v>
      </c>
      <c r="C64" t="s">
        <v>363</v>
      </c>
      <c r="D64" t="s">
        <v>312</v>
      </c>
      <c r="G64">
        <v>1600</v>
      </c>
      <c r="K64" t="s">
        <v>251</v>
      </c>
      <c r="L64" t="s">
        <v>364</v>
      </c>
    </row>
    <row r="65" spans="2:12" x14ac:dyDescent="0.2">
      <c r="B65" s="127">
        <v>41608</v>
      </c>
      <c r="C65" t="s">
        <v>363</v>
      </c>
      <c r="D65" t="s">
        <v>312</v>
      </c>
      <c r="H65">
        <v>330.24</v>
      </c>
      <c r="K65" t="s">
        <v>251</v>
      </c>
      <c r="L65" t="s">
        <v>314</v>
      </c>
    </row>
    <row r="66" spans="2:12" x14ac:dyDescent="0.2">
      <c r="B66" s="127">
        <v>41608</v>
      </c>
      <c r="C66" t="s">
        <v>365</v>
      </c>
      <c r="D66" t="s">
        <v>312</v>
      </c>
      <c r="G66">
        <v>330</v>
      </c>
      <c r="K66" t="s">
        <v>251</v>
      </c>
      <c r="L66" t="s">
        <v>366</v>
      </c>
    </row>
    <row r="67" spans="2:12" x14ac:dyDescent="0.2">
      <c r="B67" s="127">
        <v>41608</v>
      </c>
      <c r="C67" t="s">
        <v>365</v>
      </c>
      <c r="D67" t="s">
        <v>312</v>
      </c>
      <c r="H67">
        <v>18.579999999999998</v>
      </c>
      <c r="K67" t="s">
        <v>251</v>
      </c>
      <c r="L67" t="s">
        <v>314</v>
      </c>
    </row>
    <row r="68" spans="2:12" x14ac:dyDescent="0.2">
      <c r="B68" s="127">
        <v>41608</v>
      </c>
      <c r="C68" t="s">
        <v>365</v>
      </c>
      <c r="D68" t="s">
        <v>338</v>
      </c>
      <c r="G68">
        <v>1000</v>
      </c>
      <c r="K68" t="s">
        <v>251</v>
      </c>
      <c r="L68" t="s">
        <v>366</v>
      </c>
    </row>
    <row r="69" spans="2:12" x14ac:dyDescent="0.2">
      <c r="B69" s="127">
        <v>41610</v>
      </c>
      <c r="C69" t="s">
        <v>367</v>
      </c>
      <c r="D69" t="s">
        <v>280</v>
      </c>
      <c r="E69">
        <v>60</v>
      </c>
      <c r="K69" t="s">
        <v>251</v>
      </c>
      <c r="L69" t="s">
        <v>368</v>
      </c>
    </row>
    <row r="70" spans="2:12" x14ac:dyDescent="0.2">
      <c r="B70" s="127">
        <v>41621</v>
      </c>
      <c r="C70" t="s">
        <v>369</v>
      </c>
      <c r="D70" t="s">
        <v>341</v>
      </c>
      <c r="E70">
        <v>168.5</v>
      </c>
      <c r="K70" t="s">
        <v>251</v>
      </c>
      <c r="L70" t="s">
        <v>352</v>
      </c>
    </row>
    <row r="71" spans="2:12" x14ac:dyDescent="0.2">
      <c r="B71" s="127">
        <v>41621</v>
      </c>
      <c r="C71" t="s">
        <v>370</v>
      </c>
      <c r="D71" t="s">
        <v>280</v>
      </c>
      <c r="E71">
        <v>271.75</v>
      </c>
      <c r="K71" t="s">
        <v>251</v>
      </c>
      <c r="L71" t="s">
        <v>371</v>
      </c>
    </row>
    <row r="72" spans="2:12" x14ac:dyDescent="0.2">
      <c r="B72" s="127">
        <v>41632</v>
      </c>
      <c r="C72" t="s">
        <v>372</v>
      </c>
      <c r="D72" t="s">
        <v>290</v>
      </c>
      <c r="E72">
        <v>24.2</v>
      </c>
      <c r="K72" t="s">
        <v>251</v>
      </c>
      <c r="L72" t="s">
        <v>373</v>
      </c>
    </row>
    <row r="73" spans="2:12" x14ac:dyDescent="0.2">
      <c r="B73" s="127">
        <v>41632</v>
      </c>
      <c r="C73" t="s">
        <v>374</v>
      </c>
      <c r="D73" t="s">
        <v>280</v>
      </c>
      <c r="E73">
        <v>10</v>
      </c>
      <c r="K73" t="s">
        <v>251</v>
      </c>
      <c r="L73" t="s">
        <v>375</v>
      </c>
    </row>
    <row r="74" spans="2:12" x14ac:dyDescent="0.2">
      <c r="B74" s="127">
        <v>41632</v>
      </c>
      <c r="C74" t="s">
        <v>376</v>
      </c>
      <c r="D74" t="s">
        <v>341</v>
      </c>
      <c r="F74">
        <v>30</v>
      </c>
      <c r="K74" t="s">
        <v>251</v>
      </c>
      <c r="L74" t="s">
        <v>342</v>
      </c>
    </row>
    <row r="75" spans="2:12" x14ac:dyDescent="0.2">
      <c r="B75" s="127">
        <v>41632</v>
      </c>
      <c r="C75" t="s">
        <v>377</v>
      </c>
      <c r="D75" t="s">
        <v>312</v>
      </c>
      <c r="E75">
        <v>250</v>
      </c>
      <c r="K75" t="s">
        <v>251</v>
      </c>
      <c r="L75" t="s">
        <v>378</v>
      </c>
    </row>
    <row r="76" spans="2:12" x14ac:dyDescent="0.2">
      <c r="B76" s="127">
        <v>41639</v>
      </c>
      <c r="C76" t="s">
        <v>379</v>
      </c>
      <c r="D76" t="s">
        <v>312</v>
      </c>
      <c r="G76">
        <v>1600</v>
      </c>
      <c r="K76" t="s">
        <v>251</v>
      </c>
      <c r="L76" t="s">
        <v>380</v>
      </c>
    </row>
    <row r="77" spans="2:12" x14ac:dyDescent="0.2">
      <c r="B77" s="127">
        <v>41639</v>
      </c>
      <c r="C77" t="s">
        <v>379</v>
      </c>
      <c r="D77" t="s">
        <v>312</v>
      </c>
      <c r="H77">
        <v>330.24</v>
      </c>
      <c r="K77" t="s">
        <v>251</v>
      </c>
      <c r="L77" t="s">
        <v>314</v>
      </c>
    </row>
    <row r="78" spans="2:12" x14ac:dyDescent="0.2">
      <c r="B78" s="127">
        <v>41639</v>
      </c>
      <c r="C78" t="s">
        <v>381</v>
      </c>
      <c r="D78" t="s">
        <v>312</v>
      </c>
      <c r="G78">
        <v>850</v>
      </c>
      <c r="K78" t="s">
        <v>251</v>
      </c>
      <c r="L78" t="s">
        <v>382</v>
      </c>
    </row>
    <row r="79" spans="2:12" x14ac:dyDescent="0.2">
      <c r="B79" s="127">
        <v>41639</v>
      </c>
      <c r="C79" t="s">
        <v>381</v>
      </c>
      <c r="D79" t="s">
        <v>312</v>
      </c>
      <c r="H79">
        <v>26.84</v>
      </c>
      <c r="K79" t="s">
        <v>251</v>
      </c>
      <c r="L79" t="s">
        <v>314</v>
      </c>
    </row>
    <row r="80" spans="2:12" x14ac:dyDescent="0.2">
      <c r="B80" s="127">
        <v>41639</v>
      </c>
      <c r="C80" t="s">
        <v>381</v>
      </c>
      <c r="D80" t="s">
        <v>324</v>
      </c>
      <c r="G80">
        <v>50110</v>
      </c>
      <c r="K80" t="s">
        <v>251</v>
      </c>
      <c r="L80" t="s">
        <v>382</v>
      </c>
    </row>
    <row r="81" spans="5:9" x14ac:dyDescent="0.2">
      <c r="E81" s="128">
        <f>SUM(E4:E80)</f>
        <v>37542.729999999996</v>
      </c>
      <c r="F81" s="128">
        <f>SUM(F4:F80)</f>
        <v>9994.4399999999987</v>
      </c>
      <c r="G81" s="128">
        <f>SUM(G4:G80)</f>
        <v>76893</v>
      </c>
      <c r="H81" s="128">
        <f>SUM(H4:H80)</f>
        <v>1389.09</v>
      </c>
      <c r="I81" s="128">
        <f>SUM(I4:I80)</f>
        <v>108.04000000000002</v>
      </c>
    </row>
    <row r="82" spans="5:9" x14ac:dyDescent="0.2">
      <c r="E82">
        <v>48249.43</v>
      </c>
      <c r="F82">
        <v>264.63</v>
      </c>
      <c r="G82">
        <v>4396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6</vt:i4>
      </vt:variant>
    </vt:vector>
  </HeadingPairs>
  <TitlesOfParts>
    <vt:vector size="11" baseType="lpstr">
      <vt:lpstr>II_BIL</vt:lpstr>
      <vt:lpstr>III_RACH_POR</vt:lpstr>
      <vt:lpstr>III_RACH_KALK</vt:lpstr>
      <vt:lpstr>Opcje</vt:lpstr>
      <vt:lpstr>Arkusz3</vt:lpstr>
      <vt:lpstr>II_BIL!Obszar_wydruku</vt:lpstr>
      <vt:lpstr>III_RACH_KALK!Obszar_wydruku</vt:lpstr>
      <vt:lpstr>III_RACH_POR!Obszar_wydruku</vt:lpstr>
      <vt:lpstr>Opcje!Obszar_wydruku</vt:lpstr>
      <vt:lpstr>II_BIL!Tytuły_wydruku</vt:lpstr>
      <vt:lpstr>III_RACH_POR!Tytuły_wydruku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</dc:creator>
  <cp:lastModifiedBy>Marek Korch</cp:lastModifiedBy>
  <cp:revision>1</cp:revision>
  <cp:lastPrinted>2014-07-09T09:28:50Z</cp:lastPrinted>
  <dcterms:created xsi:type="dcterms:W3CDTF">2002-10-20T10:27:58Z</dcterms:created>
  <dcterms:modified xsi:type="dcterms:W3CDTF">2021-07-26T18:10:06Z</dcterms:modified>
</cp:coreProperties>
</file>